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Contabilidad\Documents\CONTABILIDAD 2025\INFORMES FINANCIEROS 2025\ASEG 2025\03_INFORMES 3ER TRIMESTRE 2025\"/>
    </mc:Choice>
  </mc:AlternateContent>
  <xr:revisionPtr revIDLastSave="0" documentId="8_{08382409-B457-41B5-BC1B-521FCD3C427A}"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45" i="7" l="1"/>
  <c r="C43" i="6"/>
  <c r="B43" i="6"/>
  <c r="C3" i="6"/>
  <c r="B3" i="6"/>
  <c r="D38" i="5"/>
  <c r="F26" i="4"/>
  <c r="C24" i="3"/>
  <c r="B24" i="3"/>
  <c r="B28" i="4"/>
  <c r="C45" i="7"/>
  <c r="C59" i="7"/>
  <c r="B3" i="8"/>
  <c r="D16" i="9"/>
  <c r="C28" i="4"/>
  <c r="B33" i="7"/>
  <c r="C3" i="8"/>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F48" i="4"/>
  <c r="E48" i="4"/>
  <c r="C66" i="3"/>
  <c r="B66" i="3"/>
  <c r="B61" i="7"/>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H47" i="14" l="1"/>
  <c r="E20" i="14"/>
  <c r="H56" i="14"/>
  <c r="E19" i="14"/>
  <c r="I19" i="14" s="1"/>
  <c r="E17" i="14"/>
  <c r="D42" i="18"/>
  <c r="G42" i="18" s="1"/>
  <c r="D12" i="18"/>
  <c r="G12" i="18" s="1"/>
  <c r="F5" i="22"/>
  <c r="F36" i="22" s="1"/>
  <c r="E47" i="14" s="1"/>
  <c r="H50" i="14"/>
  <c r="G19" i="15"/>
  <c r="C38" i="15"/>
  <c r="I18" i="14"/>
  <c r="D30" i="22"/>
  <c r="B26" i="20"/>
  <c r="E32" i="14" s="1"/>
  <c r="I32" i="14" s="1"/>
  <c r="D52" i="18"/>
  <c r="G52" i="18" s="1"/>
  <c r="D15" i="19"/>
  <c r="D41" i="19" s="1"/>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E38" i="15"/>
  <c r="G32" i="16"/>
  <c r="G48"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13"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E30" i="14"/>
  <c r="I30" i="14" s="1"/>
  <c r="H62" i="14"/>
  <c r="G25" i="22"/>
  <c r="G25" i="16"/>
  <c r="G6" i="22"/>
  <c r="E55" i="14"/>
  <c r="E42" i="14"/>
  <c r="I42" i="14" s="1"/>
  <c r="E52" i="14"/>
  <c r="I52" i="14" s="1"/>
  <c r="E62" i="14"/>
  <c r="G13" i="16"/>
  <c r="E59" i="14"/>
  <c r="E54" i="14"/>
  <c r="E49" i="14"/>
  <c r="I49" i="14" s="1"/>
  <c r="E39" i="14"/>
  <c r="I39" i="14" s="1"/>
  <c r="G12" i="22"/>
  <c r="G9" i="22" s="1"/>
  <c r="G7" i="19"/>
  <c r="G5" i="19" s="1"/>
  <c r="C76" i="18"/>
  <c r="E13" i="14"/>
  <c r="I13" i="14" s="1"/>
  <c r="D25" i="16"/>
  <c r="H44" i="14"/>
  <c r="I44" i="14" s="1"/>
  <c r="H59" i="14"/>
  <c r="D6" i="22"/>
  <c r="D15" i="17"/>
  <c r="E57" i="14" l="1"/>
  <c r="I46" i="14"/>
  <c r="E56" i="14"/>
  <c r="E41" i="14"/>
  <c r="I41" i="14" s="1"/>
  <c r="E61" i="14"/>
  <c r="E51" i="14"/>
  <c r="I51" i="14" s="1"/>
  <c r="E40" i="14"/>
  <c r="I40" i="14" s="1"/>
  <c r="E50" i="14"/>
  <c r="E29" i="14"/>
  <c r="I29" i="14" s="1"/>
  <c r="D48" i="1" s="1"/>
  <c r="I47" i="14"/>
  <c r="I56" i="14"/>
  <c r="I50" i="14"/>
  <c r="H54" i="14"/>
  <c r="I54" i="14" s="1"/>
  <c r="H57" i="14"/>
  <c r="I57" i="14" s="1"/>
  <c r="D38" i="15"/>
  <c r="I59" i="14"/>
  <c r="D50" i="1"/>
  <c r="D5" i="22"/>
  <c r="D36" i="22" s="1"/>
  <c r="E28" i="14"/>
  <c r="I28" i="14" s="1"/>
  <c r="G76" i="18"/>
  <c r="D46" i="1"/>
  <c r="G41" i="19"/>
  <c r="D76" i="18"/>
  <c r="I62" i="14"/>
  <c r="E60" i="14"/>
  <c r="I60" i="14" s="1"/>
  <c r="D51" i="1"/>
  <c r="D49" i="1"/>
  <c r="G5" i="22"/>
  <c r="G36" i="22" s="1"/>
  <c r="H55" i="14"/>
  <c r="I55" i="14" s="1"/>
  <c r="E23" i="14"/>
  <c r="I23" i="14" s="1"/>
  <c r="I61" i="14"/>
  <c r="D47" i="1" l="1"/>
  <c r="D52" i="1"/>
  <c r="D54"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<sst xmlns="http://schemas.openxmlformats.org/spreadsheetml/2006/main" count="1832" uniqueCount="690">
  <si>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</si>
  <si>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</si>
  <si>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</si>
  <si>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</si>
  <si>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</si>
  <si>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</si>
  <si>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</si>
  <si>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</si>
  <si>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</si>
  <si>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</si>
  <si>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</si>
  <si>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</si>
  <si>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</si>
  <si>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</si>
  <si>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</si>
  <si>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</si>
  <si>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</si>
  <si>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</si>
  <si>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</si>
  <si>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</si>
  <si>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</si>
  <si>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</si>
  <si>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</si>
  <si>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</si>
  <si>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</si>
  <si>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</si>
  <si>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</si>
  <si>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</si>
  <si>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</si>
  <si>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</si>
  <si>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</si>
  <si>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</si>
  <si>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</si>
  <si>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</si>
  <si>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</si>
  <si>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</si>
  <si>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</si>
  <si>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</si>
  <si>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</si>
  <si>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</si>
  <si>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</si>
  <si>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</si>
  <si>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</si>
  <si>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</si>
  <si>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</si>
  <si>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</si>
  <si>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</si>
  <si>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</si>
  <si>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</si>
  <si>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</si>
  <si>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</si>
  <si>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</si>
  <si>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</si>
  <si>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</si>
  <si>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</si>
  <si>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</si>
  <si>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</si>
  <si>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</si>
  <si>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</si>
  <si>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</si>
  <si>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</si>
  <si>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</si>
  <si>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</si>
  <si>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</si>
  <si>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</si>
  <si>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</si>
  <si>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</si>
  <si>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</si>
  <si>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</si>
  <si>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</si>
  <si>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</si>
  <si>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</si>
  <si>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</si>
  <si>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</si>
  <si>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</si>
  <si>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</si>
  <si>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</si>
  <si>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</si>
  <si>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</si>
  <si>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</si>
  <si>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</si>
  <si>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</si>
  <si>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</si>
  <si>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</si>
  <si>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</si>
  <si>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</si>
  <si>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</si>
  <si>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</si>
  <si>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</si>
  <si>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</si>
  <si>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</si>
  <si>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</si>
  <si>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</si>
  <si>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</si>
  <si>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</si>
  <si>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</si>
  <si>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</si>
  <si>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</si>
  <si>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</si>
  <si>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</si>
  <si>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</si>
  <si>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</si>
  <si>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</si>
  <si>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</si>
  <si>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</si>
  <si>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</si>
  <si>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</si>
  <si>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</si>
  <si>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</si>
  <si>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</si>
  <si>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</si>
  <si>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</si>
  <si>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</si>
  <si>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</si>
  <si>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</si>
  <si>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</si>
  <si>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</si>
  <si>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</si>
  <si>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</si>
  <si>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</si>
  <si>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</si>
  <si>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</si>
  <si>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</si>
  <si>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</si>
  <si>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</si>
  <si>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</si>
  <si>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</si>
  <si>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</si>
  <si>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</si>
  <si>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</si>
  <si>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</si>
  <si>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</si>
  <si>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</si>
  <si>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</si>
  <si>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</si>
  <si>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</si>
  <si>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</si>
  <si>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</si>
  <si>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</si>
  <si>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</si>
  <si>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</si>
  <si>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</si>
  <si>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</si>
  <si>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</si>
  <si>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</si>
  <si>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</si>
  <si>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</si>
  <si>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</si>
  <si>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</si>
  <si>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</si>
  <si>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</si>
  <si>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</si>
  <si>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</si>
  <si>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</si>
  <si>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</si>
  <si>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</si>
  <si>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</si>
  <si>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</si>
  <si>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</si>
  <si>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</si>
  <si>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</si>
  <si>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</si>
  <si>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</si>
  <si>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</si>
  <si>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</si>
  <si>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</si>
  <si>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</si>
  <si>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</si>
  <si>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</si>
  <si>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</si>
  <si>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</si>
  <si>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</si>
  <si>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</si>
  <si>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</si>
  <si>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</si>
  <si>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</si>
  <si>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</si>
  <si>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</si>
  <si>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</si>
  <si>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</si>
  <si>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</si>
  <si>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</si>
  <si>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</si>
  <si>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</si>
  <si>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</si>
  <si>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</si>
  <si>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</si>
  <si>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</si>
  <si>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</si>
  <si>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</si>
  <si>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</si>
  <si>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</si>
  <si>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</si>
  <si>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</si>
  <si>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</si>
  <si>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</si>
  <si>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</si>
  <si>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</si>
  <si>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</si>
  <si>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</si>
  <si>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</si>
  <si>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</si>
  <si>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</si>
  <si>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</si>
  <si>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</si>
  <si>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</si>
  <si>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</si>
  <si>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</si>
  <si>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</si>
  <si>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</si>
  <si>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</si>
  <si>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</si>
  <si>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</si>
  <si>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</si>
  <si>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</si>
  <si>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</si>
  <si>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</si>
  <si>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</si>
  <si>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</si>
  <si>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</si>
  <si>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</si>
  <si>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</si>
  <si>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</si>
  <si>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</si>
  <si>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</si>
  <si>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</si>
  <si>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</si>
  <si>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</si>
  <si>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</si>
  <si>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</si>
  <si>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</si>
  <si>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</si>
  <si>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</si>
  <si>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</si>
  <si>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</si>
  <si>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</si>
  <si>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</si>
  <si>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</si>
  <si>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</si>
  <si>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</si>
  <si>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</si>
  <si>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</si>
  <si>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</si>
  <si>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</si>
  <si>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</si>
  <si>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</si>
  <si>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</si>
  <si>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</si>
  <si>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</si>
  <si>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</si>
  <si>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</si>
  <si>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</si>
  <si>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</si>
  <si>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</si>
  <si>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</si>
  <si>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</si>
  <si>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</si>
  <si>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</si>
  <si>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</si>
  <si>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</si>
  <si>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</si>
  <si>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</si>
  <si>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</si>
  <si>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</si>
  <si>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</si>
  <si>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</si>
  <si>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</si>
  <si>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</si>
  <si>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</si>
  <si>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</si>
  <si>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</si>
  <si>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</si>
  <si>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</si>
  <si>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</si>
  <si>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</si>
  <si>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</si>
  <si>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</si>
  <si>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</si>
  <si>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</si>
  <si>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</si>
  <si>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</si>
  <si>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</si>
  <si>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</si>
  <si>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</si>
  <si>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</si>
  <si>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</si>
  <si>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</si>
  <si>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</si>
  <si>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</si>
  <si>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</si>
  <si>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</si>
  <si>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</si>
  <si>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</si>
  <si>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</si>
  <si>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</si>
  <si>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</si>
  <si>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</si>
  <si>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</si>
  <si>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</si>
  <si>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</si>
  <si>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</si>
  <si>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</si>
  <si>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</si>
  <si>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</si>
  <si>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</si>
  <si>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</si>
  <si>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</si>
  <si>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</si>
  <si>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</si>
  <si>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</si>
  <si>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</si>
  <si>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</si>
  <si>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</si>
  <si>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</si>
  <si>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</si>
  <si>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</si>
  <si>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</si>
  <si>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</si>
  <si>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</si>
  <si>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</si>
  <si>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</si>
  <si>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</si>
  <si>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</si>
  <si>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</si>
  <si>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</si>
  <si>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</si>
  <si>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</si>
  <si>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</si>
  <si>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</si>
  <si>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</si>
  <si>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</si>
  <si>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</si>
  <si>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</si>
  <si>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</si>
  <si>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</si>
  <si>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</si>
  <si>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</si>
  <si>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</si>
  <si>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</si>
  <si>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</si>
  <si>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</si>
  <si>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</si>
  <si>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</si>
  <si>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</si>
  <si>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</si>
  <si>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</si>
  <si>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</si>
  <si>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</si>
  <si>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</si>
  <si>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</si>
  <si>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</si>
  <si>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</si>
  <si>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</si>
  <si>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</si>
  <si>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</si>
  <si>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</si>
  <si>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</si>
  <si>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</si>
  <si>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</si>
  <si>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</si>
  <si>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</si>
  <si>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</si>
  <si>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</si>
  <si>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</si>
  <si>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</si>
  <si>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</si>
  <si>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</si>
  <si>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</si>
  <si>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</si>
  <si>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</si>
  <si>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</si>
  <si>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</si>
  <si>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</si>
  <si>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</si>
  <si>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</si>
  <si>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</si>
  <si>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</si>
  <si>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</si>
  <si>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</si>
  <si>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</si>
  <si>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</si>
  <si>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</si>
  <si>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</si>
  <si>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</si>
  <si>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</si>
  <si>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</si>
  <si>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</si>
  <si>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</si>
  <si>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</si>
  <si>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</si>
  <si>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</si>
  <si>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</si>
  <si>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</si>
  <si>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</si>
  <si>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</si>
  <si>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</si>
  <si>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</si>
  <si>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</si>
  <si>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</si>
  <si>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</si>
  <si>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</si>
  <si>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</si>
  <si>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</si>
  <si>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</si>
  <si>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</si>
  <si>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</si>
  <si>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</si>
  <si>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</si>
  <si>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</si>
  <si>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</si>
  <si>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</si>
  <si>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</si>
  <si>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</si>
  <si>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</si>
  <si>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</si>
  <si>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</si>
  <si>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</si>
  <si>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</si>
  <si>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</si>
  <si>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</si>
  <si>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</si>
  <si>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</si>
  <si>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</si>
  <si>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</si>
  <si>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</si>
  <si>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</si>
  <si>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</si>
  <si>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</si>
  <si>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</si>
  <si>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</si>
  <si>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</si>
  <si>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</si>
  <si>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</si>
  <si>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</si>
  <si>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</si>
  <si>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</si>
  <si>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</si>
  <si>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</si>
  <si>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</si>
  <si>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</si>
  <si>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</si>
  <si>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</si>
  <si>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</si>
  <si>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</si>
  <si>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</si>
  <si>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</si>
  <si>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</si>
  <si>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</si>
  <si>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</si>
  <si>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</si>
  <si>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</si>
  <si>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</si>
  <si>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</si>
  <si>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</si>
  <si>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</si>
  <si>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</si>
  <si>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</si>
  <si>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</si>
  <si>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</si>
  <si>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</si>
  <si>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</si>
  <si>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</si>
  <si>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</si>
  <si>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</si>
  <si>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</si>
  <si>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</si>
  <si>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</si>
  <si>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</si>
  <si>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</si>
  <si>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</si>
  <si>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</si>
  <si>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</si>
  <si>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</si>
  <si>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</si>
  <si>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</si>
  <si>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</si>
  <si>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</si>
  <si>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</si>
  <si>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</si>
  <si>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</si>
  <si>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</si>
  <si>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</si>
  <si>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</si>
  <si>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</si>
  <si>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</si>
  <si>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</si>
  <si>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</si>
  <si>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</si>
  <si>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</si>
  <si>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</si>
  <si>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</si>
  <si>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</si>
  <si>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</si>
  <si>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</si>
  <si>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</si>
  <si>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</si>
  <si>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</si>
  <si>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</si>
  <si>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</si>
  <si>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</si>
  <si>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</si>
  <si>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</si>
  <si>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</si>
  <si>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</si>
  <si>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</si>
  <si>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</si>
  <si>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</si>
  <si>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</si>
  <si>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</si>
  <si>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</si>
  <si>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</si>
  <si>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</si>
  <si>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</si>
  <si>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</si>
  <si>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</si>
  <si>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</si>
  <si>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</si>
  <si>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</si>
  <si>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</si>
  <si>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</si>
  <si>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</si>
  <si>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</si>
  <si>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</si>
  <si>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</si>
  <si>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</si>
  <si>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</si>
  <si>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</si>
  <si>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</si>
  <si>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</si>
  <si>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</si>
  <si>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</si>
  <si>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</si>
  <si>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</si>
  <si>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</si>
  <si>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</si>
  <si>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</si>
  <si>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</si>
  <si>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</si>
  <si>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</si>
  <si>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</si>
  <si>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</si>
  <si>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</si>
  <si>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</si>
  <si>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</si>
  <si>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</si>
  <si>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</si>
  <si>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</si>
  <si>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</si>
  <si>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</si>
  <si>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</si>
  <si>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</si>
  <si>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</si>
  <si>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</si>
  <si>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</si>
  <si>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</si>
  <si>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</si>
  <si>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</si>
  <si>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</si>
  <si>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</si>
  <si>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</si>
  <si>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</si>
  <si>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</si>
  <si>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</si>
  <si>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</si>
  <si>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</si>
  <si>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</si>
  <si>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</si>
  <si>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</si>
  <si>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</si>
  <si>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</si>
  <si>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</si>
  <si>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</si>
  <si>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</si>
  <si>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</si>
  <si>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</si>
  <si>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</si>
  <si>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</si>
  <si>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</si>
  <si>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</si>
  <si>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</si>
  <si>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</si>
  <si>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</si>
  <si>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</si>
  <si>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</si>
  <si>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</si>
  <si>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</si>
  <si>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</si>
  <si>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</si>
  <si>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</si>
  <si>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</si>
  <si>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</si>
  <si>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</si>
  <si>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</si>
  <si>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</si>
  <si>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</si>
  <si>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</si>
  <si>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</si>
  <si>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</si>
  <si>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</si>
  <si>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</si>
  <si>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</si>
  <si>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</si>
  <si>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</si>
  <si>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</si>
  <si>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</si>
  <si>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</si>
  <si>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</si>
  <si>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</si>
  <si>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</si>
  <si>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</si>
  <si>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</si>
  <si>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</si>
  <si>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</si>
  <si>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</si>
  <si>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</si>
  <si>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</si>
  <si>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</si>
  <si>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</si>
  <si>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</si>
  <si>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</si>
  <si>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</si>
  <si>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</si>
  <si>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</si>
  <si>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</si>
  <si>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</si>
  <si>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</si>
  <si>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</si>
  <si>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</si>
  <si>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</si>
  <si>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</si>
  <si>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</si>
  <si>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</si>
  <si>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</si>
  <si>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</si>
  <si>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</si>
  <si>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</si>
  <si>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</si>
  <si>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</si>
  <si>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</si>
  <si>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</si>
  <si>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</si>
  <si>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</si>
  <si>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</si>
  <si>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</si>
  <si>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</si>
  <si>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</si>
  <si>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</si>
  <si>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</si>
  <si>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</si>
  <si>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</si>
  <si>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</si>
  <si>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</si>
  <si>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</si>
  <si>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</si>
  <si>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</si>
  <si>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</si>
  <si>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</si>
  <si>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</si>
  <si>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</si>
  <si>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</si>
  <si>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</si>
  <si>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SALAMANCA, GTO.
Estado de Actividades
Del 1 de Enero al 30 de Septiembre de 2025
(Cifras en Pesos)</t>
  </si>
  <si>
    <t>SISTEMA PARA EL DESARROLLO INTEGRAL DE LA FAMILIA DEL MUNICIPIO DE SALAMANCA,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</si>
  <si>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</si>
  <si>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</si>
  <si>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</si>
  <si>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</si>
  <si>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</si>
  <si>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</si>
  <si>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</si>
  <si>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</si>
  <si>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SALAMANCA, GTO.
Estado de Variación en la Hacienda Pública
Del 1 de Enero 30 de Septiembre de 2025
(Cifras en Pesos)</t>
  </si>
  <si>
    <t>SISTEMA PARA EL DESARROLLO INTEGRAL DE LA FAMILIA DEL MUNICIPIO DE SALAMANCA, GTO.
Estado de Cambios en la Situación Financiera
Del 1 de Enero al 30 de Septiembre de 2025
(Cifras en Pesos)</t>
  </si>
  <si>
    <t>SISTEMA PARA EL DESARROLLO INTEGRAL DE LA FAMILIA DEL MUNICIPIO DE SALAMANCA, GTO.
Estado de Flujos de Efectivo
Del 1 de Enero al 30 de Septiembre de 2025
(Cifras en Pesos)</t>
  </si>
  <si>
    <t>SISTEMA PARA EL DESARROLLO INTEGRAL DE LA FAMILIA DEL MUNICIPIO DE SALAMANCA, GTO.
Estado Analítico del Activo
Del 1 de Enero al 30 de Septiembre de 2025
(Cifras en Pesos)</t>
  </si>
  <si>
    <t>SISTEMA PARA EL DESARROLLO INTEGRAL DE LA FAMILIA DEL MUNICIPIO DE SALAMANCA, GTO.
Estado Analítico de la Deuda y Otros Pasivos
Del 1 de Enero al 30 de Septiembre de 2025
(Cifras en Pesos)</t>
  </si>
  <si>
    <t>SISTEMA PARA EL DESARROLLO INTEGRAL DE LA FAMILIA DEL MUNICIPIO DE SALAMANCA, GTO.</t>
  </si>
  <si>
    <t>Correspondiente del 1 de Enero al 30 de Septiembre de 2025</t>
  </si>
  <si>
    <t>SISTEMA PARA EL DESARROLLO INTEGRAL DE LA FAMILIA DEL MUNICIPIO DE SALAMANCA, GTO.
Estado Analítico del Ejercicio del Presupuesto de Egresos
Clasificación por Objeto del Gasto (Capítulo y Concepto)
Del 1 de Enero al 30 de Septiembre de 2025
(Cifras en Pesos)</t>
  </si>
  <si>
    <t>SISTEMA PARA EL DESARROLLO INTEGRAL DE LA FAMILIA DEL MUNICIPIO DE SALAMANCA, GTO.
Estado Analítico del Ejercicio del Presupuesto de Egresos
Clasificación Económica (por Tipo de Gasto)
Del 1 de Enero al 30 de Septiembre de 2025
(Cifras en Pesos)</t>
  </si>
  <si>
    <t>31120M26D010000 DIRECCION GENERAL</t>
  </si>
  <si>
    <t>SISTEMA PARA EL DESARROLLO INTEGRAL DE LA FAMILIA DEL MUNICIPIO DE SALAMANCA, GTO.
Estado Analítico del Ejercicio del Presupuesto de Egresos
Clasificación Administrativa
Del 1 de Enero al 30 de Septiembre de 2025
(Cifras en Pesos)</t>
  </si>
  <si>
    <t>SISTEMA PARA EL DESARROLLO INTEGRAL DE LA FAMILIA DEL MUNICIPIO DE SALAMANCA, GTO.
Estado Analítico del Ejercicio del Presupuesto de Egresos
Clasificación Funcional (Finalidad y Función)
Del 1 de Enero al 30 de Septiembre de 2025
(Cifras en Pesos)</t>
  </si>
  <si>
    <t>SISTEMA PARA EL DESARROLLO INTEGRAL DE LA FAMILIA DEL MUNICIPIO DE SALAMANCA, GTO.
Estado Analítico de Ingresos
Del 1 de Enero al 30 de Septiembre de 2025
(Cifras en Pesos)</t>
  </si>
  <si>
    <t>SISTEMA PARA EL DESARROLLO INTEGRAL DE LA FAMILIA DEL MUNICIPIO DE SALAMANCA, GTO.
Gasto por Categoría Programática
Del 1 de Enero al 30 de Septiembre de 2025
(Cifras en Pesos)</t>
  </si>
  <si>
    <t>SISTEMA PARA EL DESARROLLO INTEGRAL DE LA FAMILIA DEL MUNICIPIO DE SALAMANCA, GTO.
INDICADORES DE POSTURA FISCAL
Del 1 de Enero al 30 de Septiembre de 2025
(Cifras en Pesos)</t>
  </si>
  <si>
    <t>SISTEMA PARA EL DESARROLLO INTEGRAL DE LA FAMILIA DEL MUNICIPIO DE SALAMANCA, GTO.
Endeudamiento Neto
Del 1 de Enero al 30 de Septiembre de 2025
(Cifras en Pesos)</t>
  </si>
  <si>
    <t>SISTEMA PARA EL DESARROLLO INTEGRAL DE LA FAMILIA DEL MUNICIPIO DE SALAMANCA, GTO.
Intereses de la Deuda
Del 1 de Enero al 30 de Septiembre de 2025
(Cifras en Pesos)</t>
  </si>
  <si>
    <t>Del 1 de Enero al 30 de Septiembre de 2025</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</si>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</sst>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0\ "/>
    <numFmt numFmtId="165" formatCode="#,##0.00_ ;\-#,##0.00\ "/>
    <numFmt numFmtId="166" formatCode="#,##0_ ;\-#,##0\ "/>
    <numFmt numFmtId="167" formatCode="#,##0_ ;[Red]\-#,##0\ "/>
    <numFmt numFmtId="170" formatCode="_-&quot;$&quot;* #,##0.00_-;\-&quot;$&quot;* #,##0.00_-;_-&quot;$&quot;* &quot;-&quot;??_-;_-@_-"/>
    <numFmt numFmtId="171" formatCode="_-* #,##0.00_-;\-* #,##0.00_-;_-* &quot;-&quot;??_-;_-@_-"/>
    <numFmt numFmtId="172" formatCode="_-[$€-2]* #,##0.00_-;\-[$€-2]* #,##0.00_-;_-[$€-2]* &quot;-&quot;??_-"/>
  </numFmts>
  <fonts count="30"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
      <sz val="10"/>
      <color theme="1"/>
      <name val="Calibri"/>
      <family val="2"/>
      <scheme val="minor"/>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2">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4" fillId="0" borderId="0"/>
    <xf numFmtId="172" fontId="7" fillId="0" borderId="0" applyFont="0" applyFill="0" applyBorder="0" applyAlignment="0" applyProtection="0"/>
    <xf numFmtId="171" fontId="6"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6" fillId="0" borderId="0" applyFont="0" applyFill="0" applyBorder="0" applyAlignment="0" applyProtection="0"/>
    <xf numFmtId="170" fontId="7" fillId="0" borderId="0" applyFont="0" applyFill="0" applyBorder="0" applyAlignment="0" applyProtection="0"/>
    <xf numFmtId="0" fontId="6"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170" fontId="6" fillId="0" borderId="0" applyFont="0" applyFill="0" applyBorder="0" applyAlignment="0" applyProtection="0"/>
    <xf numFmtId="9" fontId="6" fillId="0" borderId="0" applyFont="0" applyFill="0" applyBorder="0" applyAlignment="0" applyProtection="0"/>
    <xf numFmtId="0" fontId="16" fillId="0" borderId="0"/>
    <xf numFmtId="171" fontId="6"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6" fillId="0" borderId="0" applyFont="0" applyFill="0" applyBorder="0" applyAlignment="0" applyProtection="0"/>
    <xf numFmtId="170" fontId="7" fillId="0" borderId="0" applyFont="0" applyFill="0" applyBorder="0" applyAlignment="0" applyProtection="0"/>
    <xf numFmtId="171" fontId="4" fillId="0" borderId="0" applyFont="0" applyFill="0" applyBorder="0" applyAlignment="0" applyProtection="0"/>
    <xf numFmtId="9" fontId="4" fillId="0" borderId="0" applyFont="0" applyFill="0" applyBorder="0" applyAlignment="0" applyProtection="0"/>
    <xf numFmtId="170" fontId="6" fillId="0" borderId="0" applyFont="0" applyFill="0" applyBorder="0" applyAlignment="0" applyProtection="0"/>
    <xf numFmtId="171" fontId="6" fillId="0" borderId="0" applyFont="0" applyFill="0" applyBorder="0" applyAlignment="0" applyProtection="0"/>
  </cellStyleXfs>
  <cellXfs count="519">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9" fillId="0" borderId="0" xfId="0" applyFont="1" applyAlignment="1">
      <alignment horizontal="left" wrapText="1"/>
    </xf>
  </cellXfs>
  <cellStyles count="52">
    <cellStyle name="Euro" xfId="26" xr:uid="{9A988363-572C-428B-B63B-DF792B2E34FB}"/>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2 2 2" xfId="44" xr:uid="{EC990497-27DE-4157-B66F-6185ADB098D6}"/>
    <cellStyle name="Millares 2 2 3" xfId="28" xr:uid="{FDC1DEE3-60F1-404C-891C-3DC18033C42B}"/>
    <cellStyle name="Millares 2 3" xfId="21" xr:uid="{00000000-0005-0000-0000-000004000000}"/>
    <cellStyle name="Millares 2 3 2" xfId="45" xr:uid="{C2DED97C-179C-4997-9D27-6855D3B43712}"/>
    <cellStyle name="Millares 2 3 3" xfId="29" xr:uid="{3E4939D0-1F8F-48D8-8CEC-73A299484B0B}"/>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2 4 5" xfId="43" xr:uid="{62C23EFA-D748-4940-9520-5BAB9998EC14}"/>
    <cellStyle name="Millares 2 5" xfId="27" xr:uid="{6885E4BD-D503-447F-9F2B-7D742761A2FB}"/>
    <cellStyle name="Millares 3" xfId="9" xr:uid="{00000000-0005-0000-0000-00000B000000}"/>
    <cellStyle name="Millares 3 2" xfId="23" xr:uid="{00000000-0005-0000-0000-00000C000000}"/>
    <cellStyle name="Millares 3 2 2" xfId="46" xr:uid="{8A7C39F5-382A-4648-9E6D-1D04EEB4C00D}"/>
    <cellStyle name="Millares 3 3" xfId="30" xr:uid="{008C563D-1180-475D-91D2-ABDA9382589B}"/>
    <cellStyle name="Millares 4" xfId="19" xr:uid="{00000000-0005-0000-0000-00000D000000}"/>
    <cellStyle name="Millares 4 2" xfId="48" xr:uid="{A750C025-9610-4D7F-8090-E61C6E8D0115}"/>
    <cellStyle name="Millares 5" xfId="51" xr:uid="{ACD37DBD-A718-468E-838D-0A9720E0BC5E}"/>
    <cellStyle name="Moneda 2" xfId="31" xr:uid="{5126F502-C439-4E92-B4EF-DF84439ACC6C}"/>
    <cellStyle name="Moneda 2 2" xfId="47" xr:uid="{C463DAF5-0805-4252-88AB-2B65C2A380A2}"/>
    <cellStyle name="Moneda 3" xfId="40" xr:uid="{FFBFDF62-14FC-41D3-9E61-FE03F3A0C116}"/>
    <cellStyle name="Moneda 3 2" xfId="50" xr:uid="{205083F9-35E9-43A2-9AC9-5FA8B9935691}"/>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42" xr:uid="{877201B8-4DA3-4118-AAE5-0C46CE68586F}"/>
    <cellStyle name="Normal 3 3" xfId="32" xr:uid="{70EDA282-5981-4BAB-8D73-624887901465}"/>
    <cellStyle name="Normal 4" xfId="33" xr:uid="{36E93DF5-F7F0-4F0A-951C-0C5D27CC146F}"/>
    <cellStyle name="Normal 4 2" xfId="34" xr:uid="{DDC72196-21F0-47C7-83C5-AE35B5D50EA3}"/>
    <cellStyle name="Normal 5" xfId="35" xr:uid="{9FAD4DA5-93BD-4E7D-B3A7-EE210F1CB054}"/>
    <cellStyle name="Normal 5 2" xfId="36" xr:uid="{AF312758-0E18-4635-BFB0-8B79AA2F3C8F}"/>
    <cellStyle name="Normal 6" xfId="37" xr:uid="{D0E3D729-1697-4AFB-96B1-8FCBE6CA21FA}"/>
    <cellStyle name="Normal 6 2" xfId="38" xr:uid="{1C9770DE-C183-4AFF-9CC2-026177234A92}"/>
    <cellStyle name="Normal 7" xfId="39" xr:uid="{8FE169F4-A563-4342-B124-F340A8204EE1}"/>
    <cellStyle name="Normal 8" xfId="25" xr:uid="{3FCE3D8D-3993-425E-8249-99F0133D8A9E}"/>
    <cellStyle name="Porcentaje 2" xfId="41" xr:uid="{6E699EBB-83A1-482F-BB91-23D876B7CD75}"/>
    <cellStyle name="Porcentaje 3" xfId="49" xr:uid="{95836577-381D-4AFE-906C-562DB463CA89}"/>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9"/>
  <sheetViews>
    <sheetView tabSelected="1" workbookViewId="0">
      <selection activeCell="A60" sqref="A60"/>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5" ht="33.75" x14ac:dyDescent="0.2">
      <c r="A49" s="5" t="s">
        <v>306</v>
      </c>
      <c r="B49" s="6" t="s">
        <v>307</v>
      </c>
      <c r="C49" s="7" t="s">
        <v>301</v>
      </c>
      <c r="D49" s="3" t="str">
        <f>IF(AND('Rev Det P'!I15=0, 'Rev Det P'!I20=0, 'Rev Det P'!I25=0, 'Rev Det P'!I30=0), "Si cumple la regla", "No cumple la regla")</f>
        <v>Si cumple la regla</v>
      </c>
    </row>
    <row r="50" spans="1:5" ht="45" x14ac:dyDescent="0.2">
      <c r="A50" s="5" t="s">
        <v>308</v>
      </c>
      <c r="B50" s="6" t="s">
        <v>309</v>
      </c>
      <c r="C50" s="7" t="s">
        <v>310</v>
      </c>
      <c r="D50" s="3" t="str">
        <f>IF(AND('Rev Det P'!I32=0, 'Rev Det P'!I33=0, 'Rev Det P'!I34=0), "Si cumple la regla", "No cumple la regla")</f>
        <v>Si cumple la regla</v>
      </c>
    </row>
    <row r="51" spans="1:5" ht="33.75" x14ac:dyDescent="0.2">
      <c r="A51" s="5" t="s">
        <v>311</v>
      </c>
      <c r="B51" s="6" t="s">
        <v>312</v>
      </c>
      <c r="C51" s="7" t="s">
        <v>313</v>
      </c>
      <c r="D51" s="3" t="str">
        <f>IF(AND('Rev Det P'!I36=0, 'Rev Det P'!I37=0), "Si cumple la regla", "No cumple la regla")</f>
        <v>Si cumple la regla</v>
      </c>
    </row>
    <row r="52" spans="1:5" ht="45" x14ac:dyDescent="0.2">
      <c r="A52" s="5" t="s">
        <v>314</v>
      </c>
      <c r="B52" s="6" t="s">
        <v>319</v>
      </c>
      <c r="C52" s="7" t="s">
        <v>322</v>
      </c>
      <c r="D52" s="3" t="str">
        <f>+IF(AND('Rev Det P'!I39=0,'Rev Det P'!I44=0,'Rev Det P'!I49=0,'Rev Det P'!I54=0,'Rev Det P'!I59=0),"Si cumple la regla", "No cumple la regla")</f>
        <v>Si cumple la regla</v>
      </c>
    </row>
    <row r="53" spans="1:5" ht="78.75" x14ac:dyDescent="0.2">
      <c r="A53" s="5" t="s">
        <v>315</v>
      </c>
      <c r="B53" s="6" t="s">
        <v>318</v>
      </c>
      <c r="C53" s="7" t="s">
        <v>322</v>
      </c>
      <c r="D53" s="3" t="str">
        <f>+IF(AND('Rev Det P'!I40=0,'Rev Det P'!I45=0,'Rev Det P'!I50=0,'Rev Det P'!I55=0,'Rev Det P'!I60=0),"Si cumple la regla", "No cumple la regla")</f>
        <v>Si cumple la regla</v>
      </c>
    </row>
    <row r="54" spans="1:5" ht="45" x14ac:dyDescent="0.2">
      <c r="A54" s="5" t="s">
        <v>316</v>
      </c>
      <c r="B54" s="6" t="s">
        <v>320</v>
      </c>
      <c r="C54" s="7" t="s">
        <v>322</v>
      </c>
      <c r="D54" s="3" t="str">
        <f>+IF(AND('Rev Det P'!I41=0,'Rev Det P'!I46=0,'Rev Det P'!I51=0,'Rev Det P'!I56=0,'Rev Det P'!I61=0),"Si cumple la regla", "No cumple la regla")</f>
        <v>Si cumple la regla</v>
      </c>
    </row>
    <row r="55" spans="1:5" ht="45" x14ac:dyDescent="0.2">
      <c r="A55" s="5" t="s">
        <v>317</v>
      </c>
      <c r="B55" s="6" t="s">
        <v>321</v>
      </c>
      <c r="C55" s="7" t="s">
        <v>322</v>
      </c>
      <c r="D55" s="3" t="str">
        <f>+IF(AND('Rev Det P'!I42=0,'Rev Det P'!I47=0,'Rev Det P'!I52=0,'Rev Det P'!I57=0,'Rev Det P'!I62=0),"Si cumple la regla", "No cumple la regla")</f>
        <v>Si cumple la regla</v>
      </c>
    </row>
    <row r="59" spans="1:5" ht="12.75" x14ac:dyDescent="0.2">
      <c r="A59" s="518" t="s">
        <v>689</v>
      </c>
      <c r="B59" s="518"/>
      <c r="C59" s="518"/>
      <c r="D59" s="518"/>
      <c r="E59" s="518"/>
    </row>
  </sheetData>
  <mergeCells count="4">
    <mergeCell ref="A1:B1"/>
    <mergeCell ref="A2:B2"/>
    <mergeCell ref="A3:B3"/>
    <mergeCell ref="A59:E59"/>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2683782.1800000002</v>
      </c>
      <c r="E32" s="412">
        <v>478877.99</v>
      </c>
    </row>
    <row r="33" spans="1:5" ht="11.25" customHeight="1" x14ac:dyDescent="0.2">
      <c r="A33" s="62"/>
      <c r="B33" s="26"/>
      <c r="C33" s="26"/>
      <c r="D33" s="414"/>
      <c r="E33" s="414"/>
    </row>
    <row r="34" spans="1:5" ht="11.25" customHeight="1" x14ac:dyDescent="0.2">
      <c r="A34" s="43" t="s">
        <v>269</v>
      </c>
      <c r="B34" s="26"/>
      <c r="C34" s="26"/>
      <c r="D34" s="412">
        <f>D32+D3</f>
        <v>2683782.1800000002</v>
      </c>
      <c r="E34" s="412">
        <f>E32+E3</f>
        <v>478877.99</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6426773.4800000004</v>
      </c>
      <c r="C10" s="231">
        <v>100000</v>
      </c>
      <c r="D10" s="231">
        <f t="shared" si="0"/>
        <v>6526773.4800000004</v>
      </c>
      <c r="E10" s="231">
        <v>3381849.48</v>
      </c>
      <c r="F10" s="231">
        <v>3381849.48</v>
      </c>
      <c r="G10" s="231">
        <f t="shared" si="1"/>
        <v>-3044924.0000000005</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76109671.730000004</v>
      </c>
      <c r="C12" s="231">
        <v>0</v>
      </c>
      <c r="D12" s="231">
        <f t="shared" si="0"/>
        <v>76109671.730000004</v>
      </c>
      <c r="E12" s="231">
        <v>56445295.740000002</v>
      </c>
      <c r="F12" s="231">
        <v>56445295.740000002</v>
      </c>
      <c r="G12" s="231">
        <f t="shared" si="1"/>
        <v>-19664375.990000002</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82536445.210000008</v>
      </c>
      <c r="C15" s="234">
        <f>SUM(C4:C13)</f>
        <v>100000</v>
      </c>
      <c r="D15" s="234">
        <f t="shared" ref="D15:G15" si="2">SUM(D4:D13)</f>
        <v>82636445.210000008</v>
      </c>
      <c r="E15" s="234">
        <f t="shared" si="2"/>
        <v>59827145.219999999</v>
      </c>
      <c r="F15" s="235">
        <f t="shared" si="2"/>
        <v>59827145.219999999</v>
      </c>
      <c r="G15" s="236">
        <f t="shared" si="2"/>
        <v>-22709299.990000002</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82536445.210000008</v>
      </c>
      <c r="C29" s="251">
        <f t="shared" si="6"/>
        <v>100000</v>
      </c>
      <c r="D29" s="251">
        <f t="shared" si="6"/>
        <v>82636445.210000008</v>
      </c>
      <c r="E29" s="251">
        <f t="shared" si="6"/>
        <v>59827145.219999999</v>
      </c>
      <c r="F29" s="251">
        <f t="shared" si="6"/>
        <v>59827145.219999999</v>
      </c>
      <c r="G29" s="251">
        <f t="shared" si="6"/>
        <v>-22709299.990000002</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6426773.4800000004</v>
      </c>
      <c r="C32" s="248">
        <v>100000</v>
      </c>
      <c r="D32" s="248">
        <f>B32+C32</f>
        <v>6526773.4800000004</v>
      </c>
      <c r="E32" s="248">
        <v>3381849.48</v>
      </c>
      <c r="F32" s="248">
        <v>3381849.48</v>
      </c>
      <c r="G32" s="248">
        <f t="shared" si="7"/>
        <v>-3044924.0000000005</v>
      </c>
      <c r="H32" s="228" t="s">
        <v>410</v>
      </c>
    </row>
    <row r="33" spans="1:8" ht="21.6" customHeight="1" x14ac:dyDescent="0.25">
      <c r="A33" s="247" t="s">
        <v>113</v>
      </c>
      <c r="B33" s="248">
        <v>76109671.730000004</v>
      </c>
      <c r="C33" s="248">
        <v>0</v>
      </c>
      <c r="D33" s="248">
        <f>B33+C33</f>
        <v>76109671.730000004</v>
      </c>
      <c r="E33" s="248">
        <v>56445295.740000002</v>
      </c>
      <c r="F33" s="248">
        <v>56445295.740000002</v>
      </c>
      <c r="G33" s="248">
        <f t="shared" si="7"/>
        <v>-19664375.990000002</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82536445.210000008</v>
      </c>
      <c r="C38" s="234">
        <f t="shared" ref="C38:G38" si="9">SUM(C35+C29+C19)</f>
        <v>100000</v>
      </c>
      <c r="D38" s="234">
        <f t="shared" si="9"/>
        <v>82636445.210000008</v>
      </c>
      <c r="E38" s="234">
        <f t="shared" si="9"/>
        <v>59827145.219999999</v>
      </c>
      <c r="F38" s="234">
        <f t="shared" si="9"/>
        <v>59827145.219999999</v>
      </c>
      <c r="G38" s="236">
        <f t="shared" si="9"/>
        <v>-22709299.990000002</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680</v>
      </c>
      <c r="B5" s="266">
        <v>82536445.209999993</v>
      </c>
      <c r="C5" s="266">
        <v>6187125.3399999999</v>
      </c>
      <c r="D5" s="266">
        <f>B5+C5</f>
        <v>88723570.549999997</v>
      </c>
      <c r="E5" s="266">
        <v>48420209.700000003</v>
      </c>
      <c r="F5" s="266">
        <v>48420209.700000003</v>
      </c>
      <c r="G5" s="266">
        <f>D5-E5</f>
        <v>40303360.849999994</v>
      </c>
    </row>
    <row r="6" spans="1:7" x14ac:dyDescent="0.25">
      <c r="A6" s="265" t="s">
        <v>429</v>
      </c>
      <c r="B6" s="266">
        <v>0</v>
      </c>
      <c r="C6" s="266">
        <v>0</v>
      </c>
      <c r="D6" s="266">
        <f t="shared" ref="D6:D12" si="0">B6+C6</f>
        <v>0</v>
      </c>
      <c r="E6" s="266">
        <v>0</v>
      </c>
      <c r="F6" s="266">
        <v>0</v>
      </c>
      <c r="G6" s="266">
        <f t="shared" ref="G6:G12" si="1">D6-E6</f>
        <v>0</v>
      </c>
    </row>
    <row r="7" spans="1:7" x14ac:dyDescent="0.25">
      <c r="A7" s="265" t="s">
        <v>430</v>
      </c>
      <c r="B7" s="266">
        <v>0</v>
      </c>
      <c r="C7" s="266">
        <v>0</v>
      </c>
      <c r="D7" s="266">
        <f t="shared" si="0"/>
        <v>0</v>
      </c>
      <c r="E7" s="266">
        <v>0</v>
      </c>
      <c r="F7" s="266">
        <v>0</v>
      </c>
      <c r="G7" s="266">
        <f t="shared" si="1"/>
        <v>0</v>
      </c>
    </row>
    <row r="8" spans="1:7" x14ac:dyDescent="0.25">
      <c r="A8" s="265" t="s">
        <v>431</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432</v>
      </c>
      <c r="B13" s="268">
        <f t="shared" ref="B13:C13" si="2">SUM(B5:B12)</f>
        <v>82536445.209999993</v>
      </c>
      <c r="C13" s="268">
        <f t="shared" si="2"/>
        <v>6187125.3399999999</v>
      </c>
      <c r="D13" s="268">
        <f>SUM(D5:D12)</f>
        <v>88723570.549999997</v>
      </c>
      <c r="E13" s="268">
        <f t="shared" ref="E13:G13" si="3">SUM(E5:E12)</f>
        <v>48420209.700000003</v>
      </c>
      <c r="F13" s="268">
        <f t="shared" si="3"/>
        <v>48420209.700000003</v>
      </c>
      <c r="G13" s="268">
        <f t="shared" si="3"/>
        <v>40303360.849999994</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82536445.209999993</v>
      </c>
      <c r="C46" s="266">
        <v>6187125.3399999999</v>
      </c>
      <c r="D46" s="266">
        <f t="shared" ref="D46" si="11">B46+C46</f>
        <v>88723570.549999997</v>
      </c>
      <c r="E46" s="266">
        <v>48420209.700000003</v>
      </c>
      <c r="F46" s="266">
        <v>48420209.700000003</v>
      </c>
      <c r="G46" s="266">
        <f t="shared" ref="G46" si="12">D46-E46</f>
        <v>40303360.849999994</v>
      </c>
    </row>
    <row r="47" spans="1:7" x14ac:dyDescent="0.25">
      <c r="A47" s="272"/>
      <c r="B47" s="266"/>
      <c r="C47" s="266"/>
      <c r="D47" s="266"/>
      <c r="E47" s="266"/>
      <c r="F47" s="266"/>
      <c r="G47" s="266"/>
    </row>
    <row r="48" spans="1:7" x14ac:dyDescent="0.25">
      <c r="A48" s="267" t="s">
        <v>432</v>
      </c>
      <c r="B48" s="268">
        <f t="shared" ref="B48:G48" si="13">SUM(B32:B46)</f>
        <v>82536445.209999993</v>
      </c>
      <c r="C48" s="268">
        <f t="shared" si="13"/>
        <v>6187125.3399999999</v>
      </c>
      <c r="D48" s="268">
        <f t="shared" si="13"/>
        <v>88723570.549999997</v>
      </c>
      <c r="E48" s="268">
        <f t="shared" si="13"/>
        <v>48420209.700000003</v>
      </c>
      <c r="F48" s="268">
        <f t="shared" si="13"/>
        <v>48420209.700000003</v>
      </c>
      <c r="G48" s="268">
        <f t="shared" si="13"/>
        <v>40303360.849999994</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446</v>
      </c>
      <c r="B5" s="266">
        <v>79263003.409999996</v>
      </c>
      <c r="C5" s="266">
        <v>3625604.93</v>
      </c>
      <c r="D5" s="266">
        <f>B5+C5</f>
        <v>82888608.340000004</v>
      </c>
      <c r="E5" s="266">
        <v>47099951.57</v>
      </c>
      <c r="F5" s="266">
        <v>47099951.57</v>
      </c>
      <c r="G5" s="266">
        <f>D5-E5</f>
        <v>35788656.770000003</v>
      </c>
    </row>
    <row r="6" spans="1:7" x14ac:dyDescent="0.25">
      <c r="A6" s="273"/>
      <c r="B6" s="266"/>
      <c r="C6" s="266"/>
      <c r="D6" s="266"/>
      <c r="E6" s="266"/>
      <c r="F6" s="266"/>
      <c r="G6" s="266"/>
    </row>
    <row r="7" spans="1:7" ht="9.9499999999999993" customHeight="1" x14ac:dyDescent="0.25">
      <c r="A7" s="273" t="s">
        <v>447</v>
      </c>
      <c r="B7" s="266">
        <v>3273441.8</v>
      </c>
      <c r="C7" s="266">
        <v>2561520.41</v>
      </c>
      <c r="D7" s="266">
        <f>B7+C7</f>
        <v>5834962.21</v>
      </c>
      <c r="E7" s="266">
        <v>1320258.1299999999</v>
      </c>
      <c r="F7" s="266">
        <v>1320258.1299999999</v>
      </c>
      <c r="G7" s="266">
        <f>D7-E7</f>
        <v>4514704.08</v>
      </c>
    </row>
    <row r="8" spans="1:7" x14ac:dyDescent="0.2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432</v>
      </c>
      <c r="B15" s="278">
        <f t="shared" ref="B15:G15" si="0">SUM(B5+B7+B9+B11+B13)</f>
        <v>82536445.209999993</v>
      </c>
      <c r="C15" s="278">
        <f t="shared" si="0"/>
        <v>6187125.3399999999</v>
      </c>
      <c r="D15" s="278">
        <f t="shared" si="0"/>
        <v>88723570.549999997</v>
      </c>
      <c r="E15" s="278">
        <f t="shared" si="0"/>
        <v>48420209.700000003</v>
      </c>
      <c r="F15" s="278">
        <f t="shared" si="0"/>
        <v>48420209.700000003</v>
      </c>
      <c r="G15" s="278">
        <f t="shared" si="0"/>
        <v>40303360.850000001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57838960.790000007</v>
      </c>
      <c r="C4" s="280">
        <f>SUM(C5:C11)</f>
        <v>0</v>
      </c>
      <c r="D4" s="280">
        <f>B4+C4</f>
        <v>57838960.790000007</v>
      </c>
      <c r="E4" s="280">
        <f>SUM(E5:E11)</f>
        <v>36042617.370000005</v>
      </c>
      <c r="F4" s="280">
        <f>SUM(F5:F11)</f>
        <v>36042617.370000005</v>
      </c>
      <c r="G4" s="280">
        <f>D4-E4</f>
        <v>21796343.420000002</v>
      </c>
    </row>
    <row r="5" spans="1:8" x14ac:dyDescent="0.25">
      <c r="A5" s="281" t="s">
        <v>449</v>
      </c>
      <c r="B5" s="266">
        <v>36394175.700000003</v>
      </c>
      <c r="C5" s="266">
        <v>-785000</v>
      </c>
      <c r="D5" s="266">
        <f t="shared" ref="D5:D68" si="0">B5+C5</f>
        <v>35609175.700000003</v>
      </c>
      <c r="E5" s="266">
        <v>24449755.190000001</v>
      </c>
      <c r="F5" s="266">
        <v>24449755.190000001</v>
      </c>
      <c r="G5" s="266">
        <f t="shared" ref="G5:G68" si="1">D5-E5</f>
        <v>11159420.510000002</v>
      </c>
      <c r="H5" s="282">
        <v>1100</v>
      </c>
    </row>
    <row r="6" spans="1:8" x14ac:dyDescent="0.25">
      <c r="A6" s="281" t="s">
        <v>450</v>
      </c>
      <c r="B6" s="266">
        <v>0</v>
      </c>
      <c r="C6" s="266">
        <v>0</v>
      </c>
      <c r="D6" s="266">
        <f t="shared" si="0"/>
        <v>0</v>
      </c>
      <c r="E6" s="266">
        <v>0</v>
      </c>
      <c r="F6" s="266">
        <v>0</v>
      </c>
      <c r="G6" s="266">
        <f t="shared" si="1"/>
        <v>0</v>
      </c>
      <c r="H6" s="282">
        <v>1200</v>
      </c>
    </row>
    <row r="7" spans="1:8" x14ac:dyDescent="0.25">
      <c r="A7" s="281" t="s">
        <v>451</v>
      </c>
      <c r="B7" s="266">
        <v>5458680.5700000003</v>
      </c>
      <c r="C7" s="266">
        <v>720000</v>
      </c>
      <c r="D7" s="266">
        <f t="shared" si="0"/>
        <v>6178680.5700000003</v>
      </c>
      <c r="E7" s="266">
        <v>1537492.57</v>
      </c>
      <c r="F7" s="266">
        <v>1537492.57</v>
      </c>
      <c r="G7" s="266">
        <f t="shared" si="1"/>
        <v>4641188</v>
      </c>
      <c r="H7" s="282">
        <v>1300</v>
      </c>
    </row>
    <row r="8" spans="1:8" x14ac:dyDescent="0.25">
      <c r="A8" s="281" t="s">
        <v>452</v>
      </c>
      <c r="B8" s="266">
        <v>10485142.5</v>
      </c>
      <c r="C8" s="266">
        <v>-320000</v>
      </c>
      <c r="D8" s="266">
        <f t="shared" si="0"/>
        <v>10165142.5</v>
      </c>
      <c r="E8" s="266">
        <v>6135103.3300000001</v>
      </c>
      <c r="F8" s="266">
        <v>6135103.3300000001</v>
      </c>
      <c r="G8" s="266">
        <f t="shared" si="1"/>
        <v>4030039.17</v>
      </c>
      <c r="H8" s="282">
        <v>1400</v>
      </c>
    </row>
    <row r="9" spans="1:8" x14ac:dyDescent="0.25">
      <c r="A9" s="281" t="s">
        <v>453</v>
      </c>
      <c r="B9" s="266">
        <v>3681253.24</v>
      </c>
      <c r="C9" s="266">
        <v>425000</v>
      </c>
      <c r="D9" s="266">
        <f t="shared" si="0"/>
        <v>4106253.24</v>
      </c>
      <c r="E9" s="266">
        <v>2704280.92</v>
      </c>
      <c r="F9" s="266">
        <v>2704280.92</v>
      </c>
      <c r="G9" s="266">
        <f t="shared" si="1"/>
        <v>1401972.3200000003</v>
      </c>
      <c r="H9" s="282">
        <v>1500</v>
      </c>
    </row>
    <row r="10" spans="1:8" x14ac:dyDescent="0.25">
      <c r="A10" s="281" t="s">
        <v>454</v>
      </c>
      <c r="B10" s="266">
        <v>0</v>
      </c>
      <c r="C10" s="266">
        <v>0</v>
      </c>
      <c r="D10" s="266">
        <f t="shared" si="0"/>
        <v>0</v>
      </c>
      <c r="E10" s="266">
        <v>0</v>
      </c>
      <c r="F10" s="266">
        <v>0</v>
      </c>
      <c r="G10" s="266">
        <f t="shared" si="1"/>
        <v>0</v>
      </c>
      <c r="H10" s="282">
        <v>1600</v>
      </c>
    </row>
    <row r="11" spans="1:8" x14ac:dyDescent="0.25">
      <c r="A11" s="281" t="s">
        <v>455</v>
      </c>
      <c r="B11" s="266">
        <v>1819708.78</v>
      </c>
      <c r="C11" s="266">
        <v>-40000</v>
      </c>
      <c r="D11" s="266">
        <f t="shared" si="0"/>
        <v>1779708.78</v>
      </c>
      <c r="E11" s="266">
        <v>1215985.3600000001</v>
      </c>
      <c r="F11" s="266">
        <v>1215985.3600000001</v>
      </c>
      <c r="G11" s="266">
        <f t="shared" si="1"/>
        <v>563723.41999999993</v>
      </c>
      <c r="H11" s="282">
        <v>1700</v>
      </c>
    </row>
    <row r="12" spans="1:8" x14ac:dyDescent="0.25">
      <c r="A12" s="279" t="s">
        <v>124</v>
      </c>
      <c r="B12" s="283">
        <f>SUM(B13:B21)</f>
        <v>5774896.9900000002</v>
      </c>
      <c r="C12" s="283">
        <f>SUM(C13:C21)</f>
        <v>110000</v>
      </c>
      <c r="D12" s="283">
        <f t="shared" si="0"/>
        <v>5884896.9900000002</v>
      </c>
      <c r="E12" s="283">
        <f>SUM(E13:E21)</f>
        <v>3822733.36</v>
      </c>
      <c r="F12" s="283">
        <f>SUM(F13:F21)</f>
        <v>3822733.36</v>
      </c>
      <c r="G12" s="283">
        <f t="shared" si="1"/>
        <v>2062163.6300000004</v>
      </c>
      <c r="H12" s="284">
        <v>0</v>
      </c>
    </row>
    <row r="13" spans="1:8" x14ac:dyDescent="0.25">
      <c r="A13" s="281" t="s">
        <v>456</v>
      </c>
      <c r="B13" s="266">
        <v>1652004.99</v>
      </c>
      <c r="C13" s="266">
        <v>0</v>
      </c>
      <c r="D13" s="266">
        <f t="shared" si="0"/>
        <v>1652004.99</v>
      </c>
      <c r="E13" s="266">
        <v>973009.95</v>
      </c>
      <c r="F13" s="266">
        <v>973009.95</v>
      </c>
      <c r="G13" s="266">
        <f t="shared" si="1"/>
        <v>678995.04</v>
      </c>
      <c r="H13" s="282">
        <v>2100</v>
      </c>
    </row>
    <row r="14" spans="1:8" x14ac:dyDescent="0.25">
      <c r="A14" s="281" t="s">
        <v>457</v>
      </c>
      <c r="B14" s="266">
        <v>1181891</v>
      </c>
      <c r="C14" s="266">
        <v>0</v>
      </c>
      <c r="D14" s="266">
        <f t="shared" si="0"/>
        <v>1181891</v>
      </c>
      <c r="E14" s="266">
        <v>983227.24</v>
      </c>
      <c r="F14" s="266">
        <v>983227.24</v>
      </c>
      <c r="G14" s="266">
        <f t="shared" si="1"/>
        <v>198663.76</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535145</v>
      </c>
      <c r="C16" s="266">
        <v>0</v>
      </c>
      <c r="D16" s="266">
        <f t="shared" si="0"/>
        <v>535145</v>
      </c>
      <c r="E16" s="266">
        <v>390354.53</v>
      </c>
      <c r="F16" s="266">
        <v>390354.53</v>
      </c>
      <c r="G16" s="266">
        <f t="shared" si="1"/>
        <v>144790.46999999997</v>
      </c>
      <c r="H16" s="282">
        <v>2400</v>
      </c>
    </row>
    <row r="17" spans="1:8" x14ac:dyDescent="0.25">
      <c r="A17" s="281" t="s">
        <v>460</v>
      </c>
      <c r="B17" s="266">
        <v>441358</v>
      </c>
      <c r="C17" s="266">
        <v>0</v>
      </c>
      <c r="D17" s="266">
        <f t="shared" si="0"/>
        <v>441358</v>
      </c>
      <c r="E17" s="266">
        <v>263969.71000000002</v>
      </c>
      <c r="F17" s="266">
        <v>263969.71000000002</v>
      </c>
      <c r="G17" s="266">
        <f t="shared" si="1"/>
        <v>177388.28999999998</v>
      </c>
      <c r="H17" s="282">
        <v>2500</v>
      </c>
    </row>
    <row r="18" spans="1:8" x14ac:dyDescent="0.25">
      <c r="A18" s="281" t="s">
        <v>461</v>
      </c>
      <c r="B18" s="266">
        <v>1284000</v>
      </c>
      <c r="C18" s="266">
        <v>0</v>
      </c>
      <c r="D18" s="266">
        <f t="shared" si="0"/>
        <v>1284000</v>
      </c>
      <c r="E18" s="266">
        <v>538118.16</v>
      </c>
      <c r="F18" s="266">
        <v>538118.16</v>
      </c>
      <c r="G18" s="266">
        <f t="shared" si="1"/>
        <v>745881.84</v>
      </c>
      <c r="H18" s="282">
        <v>2600</v>
      </c>
    </row>
    <row r="19" spans="1:8" x14ac:dyDescent="0.25">
      <c r="A19" s="281" t="s">
        <v>462</v>
      </c>
      <c r="B19" s="266">
        <v>502948</v>
      </c>
      <c r="C19" s="266">
        <v>100000</v>
      </c>
      <c r="D19" s="266">
        <f t="shared" si="0"/>
        <v>602948</v>
      </c>
      <c r="E19" s="266">
        <v>556450.79</v>
      </c>
      <c r="F19" s="266">
        <v>556450.79</v>
      </c>
      <c r="G19" s="266">
        <f t="shared" si="1"/>
        <v>46497.209999999963</v>
      </c>
      <c r="H19" s="282">
        <v>2700</v>
      </c>
    </row>
    <row r="20" spans="1:8" x14ac:dyDescent="0.25">
      <c r="A20" s="281" t="s">
        <v>463</v>
      </c>
      <c r="B20" s="266">
        <v>0</v>
      </c>
      <c r="C20" s="266">
        <v>0</v>
      </c>
      <c r="D20" s="266">
        <f t="shared" si="0"/>
        <v>0</v>
      </c>
      <c r="E20" s="266">
        <v>0</v>
      </c>
      <c r="F20" s="266">
        <v>0</v>
      </c>
      <c r="G20" s="266">
        <f t="shared" si="1"/>
        <v>0</v>
      </c>
      <c r="H20" s="282">
        <v>2800</v>
      </c>
    </row>
    <row r="21" spans="1:8" x14ac:dyDescent="0.25">
      <c r="A21" s="281" t="s">
        <v>464</v>
      </c>
      <c r="B21" s="266">
        <v>177550</v>
      </c>
      <c r="C21" s="266">
        <v>10000</v>
      </c>
      <c r="D21" s="266">
        <f t="shared" si="0"/>
        <v>187550</v>
      </c>
      <c r="E21" s="266">
        <v>117602.98</v>
      </c>
      <c r="F21" s="266">
        <v>117602.98</v>
      </c>
      <c r="G21" s="266">
        <f t="shared" si="1"/>
        <v>69947.02</v>
      </c>
      <c r="H21" s="282">
        <v>2900</v>
      </c>
    </row>
    <row r="22" spans="1:8" x14ac:dyDescent="0.25">
      <c r="A22" s="279" t="s">
        <v>125</v>
      </c>
      <c r="B22" s="283">
        <f>SUM(B23:B31)</f>
        <v>6782022.7100000009</v>
      </c>
      <c r="C22" s="283">
        <f>SUM(C23:C31)</f>
        <v>540000</v>
      </c>
      <c r="D22" s="283">
        <f t="shared" si="0"/>
        <v>7322022.7100000009</v>
      </c>
      <c r="E22" s="283">
        <f>SUM(E23:E31)</f>
        <v>3702103.4100000006</v>
      </c>
      <c r="F22" s="283">
        <f>SUM(F23:F31)</f>
        <v>3702103.4100000006</v>
      </c>
      <c r="G22" s="283">
        <f t="shared" si="1"/>
        <v>3619919.3000000003</v>
      </c>
      <c r="H22" s="284">
        <v>0</v>
      </c>
    </row>
    <row r="23" spans="1:8" x14ac:dyDescent="0.25">
      <c r="A23" s="281" t="s">
        <v>465</v>
      </c>
      <c r="B23" s="266">
        <v>1026448</v>
      </c>
      <c r="C23" s="266">
        <v>0</v>
      </c>
      <c r="D23" s="266">
        <f t="shared" si="0"/>
        <v>1026448</v>
      </c>
      <c r="E23" s="266">
        <v>457346.44</v>
      </c>
      <c r="F23" s="266">
        <v>457346.44</v>
      </c>
      <c r="G23" s="266">
        <f t="shared" si="1"/>
        <v>569101.56000000006</v>
      </c>
      <c r="H23" s="282">
        <v>3100</v>
      </c>
    </row>
    <row r="24" spans="1:8" x14ac:dyDescent="0.25">
      <c r="A24" s="281" t="s">
        <v>466</v>
      </c>
      <c r="B24" s="266">
        <v>261274</v>
      </c>
      <c r="C24" s="266">
        <v>332289</v>
      </c>
      <c r="D24" s="266">
        <f t="shared" si="0"/>
        <v>593563</v>
      </c>
      <c r="E24" s="266">
        <v>231936.07</v>
      </c>
      <c r="F24" s="266">
        <v>231936.07</v>
      </c>
      <c r="G24" s="266">
        <f t="shared" si="1"/>
        <v>361626.93</v>
      </c>
      <c r="H24" s="282">
        <v>3200</v>
      </c>
    </row>
    <row r="25" spans="1:8" x14ac:dyDescent="0.25">
      <c r="A25" s="281" t="s">
        <v>467</v>
      </c>
      <c r="B25" s="266">
        <v>706485.81</v>
      </c>
      <c r="C25" s="266">
        <v>355000</v>
      </c>
      <c r="D25" s="266">
        <f t="shared" si="0"/>
        <v>1061485.81</v>
      </c>
      <c r="E25" s="266">
        <v>385507.37</v>
      </c>
      <c r="F25" s="266">
        <v>385507.37</v>
      </c>
      <c r="G25" s="266">
        <f t="shared" si="1"/>
        <v>675978.44000000006</v>
      </c>
      <c r="H25" s="282">
        <v>3300</v>
      </c>
    </row>
    <row r="26" spans="1:8" x14ac:dyDescent="0.25">
      <c r="A26" s="281" t="s">
        <v>468</v>
      </c>
      <c r="B26" s="266">
        <v>393500</v>
      </c>
      <c r="C26" s="266">
        <v>47711</v>
      </c>
      <c r="D26" s="266">
        <f t="shared" si="0"/>
        <v>441211</v>
      </c>
      <c r="E26" s="266">
        <v>298394.59999999998</v>
      </c>
      <c r="F26" s="266">
        <v>298394.59999999998</v>
      </c>
      <c r="G26" s="266">
        <f t="shared" si="1"/>
        <v>142816.40000000002</v>
      </c>
      <c r="H26" s="282">
        <v>3400</v>
      </c>
    </row>
    <row r="27" spans="1:8" x14ac:dyDescent="0.25">
      <c r="A27" s="281" t="s">
        <v>469</v>
      </c>
      <c r="B27" s="266">
        <v>1142504</v>
      </c>
      <c r="C27" s="266">
        <v>-295000</v>
      </c>
      <c r="D27" s="266">
        <f t="shared" si="0"/>
        <v>847504</v>
      </c>
      <c r="E27" s="266">
        <v>475857.33</v>
      </c>
      <c r="F27" s="266">
        <v>475857.33</v>
      </c>
      <c r="G27" s="266">
        <f t="shared" si="1"/>
        <v>371646.67</v>
      </c>
      <c r="H27" s="282">
        <v>3500</v>
      </c>
    </row>
    <row r="28" spans="1:8" x14ac:dyDescent="0.25">
      <c r="A28" s="281" t="s">
        <v>470</v>
      </c>
      <c r="B28" s="266">
        <v>135360</v>
      </c>
      <c r="C28" s="266">
        <v>0</v>
      </c>
      <c r="D28" s="266">
        <f t="shared" si="0"/>
        <v>135360</v>
      </c>
      <c r="E28" s="266">
        <v>6850.32</v>
      </c>
      <c r="F28" s="266">
        <v>6850.32</v>
      </c>
      <c r="G28" s="266">
        <f t="shared" si="1"/>
        <v>128509.68</v>
      </c>
      <c r="H28" s="282">
        <v>3600</v>
      </c>
    </row>
    <row r="29" spans="1:8" x14ac:dyDescent="0.25">
      <c r="A29" s="281" t="s">
        <v>471</v>
      </c>
      <c r="B29" s="266">
        <v>31700</v>
      </c>
      <c r="C29" s="266">
        <v>0</v>
      </c>
      <c r="D29" s="266">
        <f t="shared" si="0"/>
        <v>31700</v>
      </c>
      <c r="E29" s="266">
        <v>11529.33</v>
      </c>
      <c r="F29" s="266">
        <v>11529.33</v>
      </c>
      <c r="G29" s="266">
        <f t="shared" si="1"/>
        <v>20170.669999999998</v>
      </c>
      <c r="H29" s="282">
        <v>3700</v>
      </c>
    </row>
    <row r="30" spans="1:8" x14ac:dyDescent="0.25">
      <c r="A30" s="281" t="s">
        <v>472</v>
      </c>
      <c r="B30" s="266">
        <v>1587302</v>
      </c>
      <c r="C30" s="266">
        <v>100000</v>
      </c>
      <c r="D30" s="266">
        <f t="shared" si="0"/>
        <v>1687302</v>
      </c>
      <c r="E30" s="266">
        <v>1073744.06</v>
      </c>
      <c r="F30" s="266">
        <v>1073744.06</v>
      </c>
      <c r="G30" s="266">
        <f t="shared" si="1"/>
        <v>613557.93999999994</v>
      </c>
      <c r="H30" s="282">
        <v>3800</v>
      </c>
    </row>
    <row r="31" spans="1:8" x14ac:dyDescent="0.25">
      <c r="A31" s="281" t="s">
        <v>473</v>
      </c>
      <c r="B31" s="266">
        <v>1497448.9</v>
      </c>
      <c r="C31" s="266">
        <v>0</v>
      </c>
      <c r="D31" s="266">
        <f t="shared" si="0"/>
        <v>1497448.9</v>
      </c>
      <c r="E31" s="266">
        <v>760937.89</v>
      </c>
      <c r="F31" s="266">
        <v>760937.89</v>
      </c>
      <c r="G31" s="266">
        <f t="shared" si="1"/>
        <v>736511.00999999989</v>
      </c>
      <c r="H31" s="282">
        <v>3900</v>
      </c>
    </row>
    <row r="32" spans="1:8" x14ac:dyDescent="0.25">
      <c r="A32" s="279" t="s">
        <v>126</v>
      </c>
      <c r="B32" s="283">
        <f>SUM(B33:B41)</f>
        <v>8867122.9199999999</v>
      </c>
      <c r="C32" s="283">
        <f>SUM(C33:C41)</f>
        <v>-550000</v>
      </c>
      <c r="D32" s="283">
        <f t="shared" si="0"/>
        <v>8317122.9199999999</v>
      </c>
      <c r="E32" s="283">
        <f>SUM(E33:E41)</f>
        <v>3532497.43</v>
      </c>
      <c r="F32" s="283">
        <f>SUM(F33:F41)</f>
        <v>3532497.43</v>
      </c>
      <c r="G32" s="283">
        <f t="shared" si="1"/>
        <v>4784625.49</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8867122.9199999999</v>
      </c>
      <c r="C36" s="266">
        <v>-550000</v>
      </c>
      <c r="D36" s="266">
        <f t="shared" si="0"/>
        <v>8317122.9199999999</v>
      </c>
      <c r="E36" s="266">
        <v>3532497.43</v>
      </c>
      <c r="F36" s="266">
        <v>3532497.43</v>
      </c>
      <c r="G36" s="266">
        <f t="shared" si="1"/>
        <v>4784625.49</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3273441.8</v>
      </c>
      <c r="C42" s="283">
        <f>SUM(C43:C51)</f>
        <v>1305132.24</v>
      </c>
      <c r="D42" s="283">
        <f t="shared" si="0"/>
        <v>4578574.04</v>
      </c>
      <c r="E42" s="283">
        <f>SUM(E43:E51)</f>
        <v>1320258.1299999999</v>
      </c>
      <c r="F42" s="283">
        <f>SUM(F43:F51)</f>
        <v>1320258.1299999999</v>
      </c>
      <c r="G42" s="283">
        <f t="shared" si="1"/>
        <v>3258315.91</v>
      </c>
      <c r="H42" s="284">
        <v>0</v>
      </c>
    </row>
    <row r="43" spans="1:8" x14ac:dyDescent="0.25">
      <c r="A43" s="285" t="s">
        <v>476</v>
      </c>
      <c r="B43" s="266">
        <v>638892.80000000005</v>
      </c>
      <c r="C43" s="266">
        <v>217929.68</v>
      </c>
      <c r="D43" s="266">
        <f t="shared" si="0"/>
        <v>856822.48</v>
      </c>
      <c r="E43" s="266">
        <v>659400.64</v>
      </c>
      <c r="F43" s="266">
        <v>659400.64</v>
      </c>
      <c r="G43" s="266">
        <f t="shared" si="1"/>
        <v>197421.83999999997</v>
      </c>
      <c r="H43" s="282">
        <v>5100</v>
      </c>
    </row>
    <row r="44" spans="1:8" x14ac:dyDescent="0.25">
      <c r="A44" s="281" t="s">
        <v>477</v>
      </c>
      <c r="B44" s="266">
        <v>115649</v>
      </c>
      <c r="C44" s="266">
        <v>44000</v>
      </c>
      <c r="D44" s="266">
        <f t="shared" si="0"/>
        <v>159649</v>
      </c>
      <c r="E44" s="266">
        <v>123459.56</v>
      </c>
      <c r="F44" s="266">
        <v>123459.56</v>
      </c>
      <c r="G44" s="266">
        <f t="shared" si="1"/>
        <v>36189.440000000002</v>
      </c>
      <c r="H44" s="282">
        <v>5200</v>
      </c>
    </row>
    <row r="45" spans="1:8" x14ac:dyDescent="0.25">
      <c r="A45" s="281" t="s">
        <v>478</v>
      </c>
      <c r="B45" s="266">
        <v>59000</v>
      </c>
      <c r="C45" s="266">
        <v>0</v>
      </c>
      <c r="D45" s="266">
        <f t="shared" si="0"/>
        <v>59000</v>
      </c>
      <c r="E45" s="266">
        <v>37399</v>
      </c>
      <c r="F45" s="266">
        <v>37399</v>
      </c>
      <c r="G45" s="266">
        <f t="shared" si="1"/>
        <v>21601</v>
      </c>
      <c r="H45" s="282">
        <v>5300</v>
      </c>
    </row>
    <row r="46" spans="1:8" x14ac:dyDescent="0.25">
      <c r="A46" s="281" t="s">
        <v>479</v>
      </c>
      <c r="B46" s="266">
        <v>2380000</v>
      </c>
      <c r="C46" s="266">
        <v>493202.56</v>
      </c>
      <c r="D46" s="266">
        <f t="shared" si="0"/>
        <v>2873202.56</v>
      </c>
      <c r="E46" s="266">
        <v>0</v>
      </c>
      <c r="F46" s="266">
        <v>0</v>
      </c>
      <c r="G46" s="266">
        <f t="shared" si="1"/>
        <v>2873202.56</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79900</v>
      </c>
      <c r="C48" s="266">
        <v>550000</v>
      </c>
      <c r="D48" s="266">
        <f t="shared" si="0"/>
        <v>629900</v>
      </c>
      <c r="E48" s="266">
        <v>499998.93</v>
      </c>
      <c r="F48" s="266">
        <v>499998.93</v>
      </c>
      <c r="G48" s="266">
        <f t="shared" si="1"/>
        <v>129901.07</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1256388.17</v>
      </c>
      <c r="D52" s="283">
        <f t="shared" si="0"/>
        <v>1256388.17</v>
      </c>
      <c r="E52" s="283">
        <f>SUM(E53:E55)</f>
        <v>0</v>
      </c>
      <c r="F52" s="283">
        <f>SUM(F53:F55)</f>
        <v>0</v>
      </c>
      <c r="G52" s="283">
        <f t="shared" si="1"/>
        <v>1256388.17</v>
      </c>
      <c r="H52" s="284">
        <v>0</v>
      </c>
    </row>
    <row r="53" spans="1:8" x14ac:dyDescent="0.25">
      <c r="A53" s="281" t="s">
        <v>484</v>
      </c>
      <c r="B53" s="266">
        <v>0</v>
      </c>
      <c r="C53" s="266">
        <v>0</v>
      </c>
      <c r="D53" s="266">
        <f t="shared" si="0"/>
        <v>0</v>
      </c>
      <c r="E53" s="266">
        <v>0</v>
      </c>
      <c r="F53" s="266">
        <v>0</v>
      </c>
      <c r="G53" s="266">
        <f t="shared" si="1"/>
        <v>0</v>
      </c>
      <c r="H53" s="282">
        <v>6100</v>
      </c>
    </row>
    <row r="54" spans="1:8" x14ac:dyDescent="0.25">
      <c r="A54" s="281" t="s">
        <v>485</v>
      </c>
      <c r="B54" s="266">
        <v>0</v>
      </c>
      <c r="C54" s="266">
        <v>1256388.17</v>
      </c>
      <c r="D54" s="266">
        <f t="shared" si="0"/>
        <v>1256388.17</v>
      </c>
      <c r="E54" s="266">
        <v>0</v>
      </c>
      <c r="F54" s="266">
        <v>0</v>
      </c>
      <c r="G54" s="266">
        <f t="shared" si="1"/>
        <v>1256388.17</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3525604.93</v>
      </c>
      <c r="D56" s="283">
        <f t="shared" si="0"/>
        <v>3525604.93</v>
      </c>
      <c r="E56" s="283">
        <f>SUM(E57:E63)</f>
        <v>0</v>
      </c>
      <c r="F56" s="283">
        <f>SUM(F57:F63)</f>
        <v>0</v>
      </c>
      <c r="G56" s="283">
        <f t="shared" si="1"/>
        <v>3525604.93</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3525604.93</v>
      </c>
      <c r="D63" s="266">
        <f t="shared" si="0"/>
        <v>3525604.93</v>
      </c>
      <c r="E63" s="266">
        <v>0</v>
      </c>
      <c r="F63" s="266">
        <v>0</v>
      </c>
      <c r="G63" s="266">
        <f t="shared" si="1"/>
        <v>3525604.93</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82536445.210000008</v>
      </c>
      <c r="C76" s="278">
        <f t="shared" si="4"/>
        <v>6187125.3399999999</v>
      </c>
      <c r="D76" s="278">
        <f t="shared" si="4"/>
        <v>88723570.550000027</v>
      </c>
      <c r="E76" s="278">
        <f t="shared" si="4"/>
        <v>48420209.70000001</v>
      </c>
      <c r="F76" s="278">
        <f t="shared" si="4"/>
        <v>48420209.70000001</v>
      </c>
      <c r="G76" s="278">
        <f t="shared" si="4"/>
        <v>40303360.850000001</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498</v>
      </c>
      <c r="B5" s="283">
        <f t="shared" ref="B5:G5" si="0">SUM(B6:B13)</f>
        <v>0</v>
      </c>
      <c r="C5" s="283">
        <f t="shared" si="0"/>
        <v>0</v>
      </c>
      <c r="D5" s="283">
        <f t="shared" si="0"/>
        <v>0</v>
      </c>
      <c r="E5" s="283">
        <f t="shared" si="0"/>
        <v>0</v>
      </c>
      <c r="F5" s="283">
        <f t="shared" si="0"/>
        <v>0</v>
      </c>
      <c r="G5" s="283">
        <f t="shared" si="0"/>
        <v>0</v>
      </c>
    </row>
    <row r="6" spans="1:7" x14ac:dyDescent="0.25">
      <c r="A6" s="288" t="s">
        <v>499</v>
      </c>
      <c r="B6" s="266">
        <v>0</v>
      </c>
      <c r="C6" s="266">
        <v>0</v>
      </c>
      <c r="D6" s="266">
        <f>B6+C6</f>
        <v>0</v>
      </c>
      <c r="E6" s="266">
        <v>0</v>
      </c>
      <c r="F6" s="266">
        <v>0</v>
      </c>
      <c r="G6" s="266">
        <f>D6-E6</f>
        <v>0</v>
      </c>
    </row>
    <row r="7" spans="1:7" x14ac:dyDescent="0.2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x14ac:dyDescent="0.25">
      <c r="A9" s="288" t="s">
        <v>502</v>
      </c>
      <c r="B9" s="266">
        <v>0</v>
      </c>
      <c r="C9" s="266">
        <v>0</v>
      </c>
      <c r="D9" s="266">
        <f t="shared" si="1"/>
        <v>0</v>
      </c>
      <c r="E9" s="266">
        <v>0</v>
      </c>
      <c r="F9" s="266">
        <v>0</v>
      </c>
      <c r="G9" s="266">
        <f t="shared" si="2"/>
        <v>0</v>
      </c>
    </row>
    <row r="10" spans="1:7" x14ac:dyDescent="0.25">
      <c r="A10" s="288" t="s">
        <v>503</v>
      </c>
      <c r="B10" s="266">
        <v>0</v>
      </c>
      <c r="C10" s="266">
        <v>0</v>
      </c>
      <c r="D10" s="266">
        <f t="shared" si="1"/>
        <v>0</v>
      </c>
      <c r="E10" s="266">
        <v>0</v>
      </c>
      <c r="F10" s="266">
        <v>0</v>
      </c>
      <c r="G10" s="266">
        <f t="shared" si="2"/>
        <v>0</v>
      </c>
    </row>
    <row r="11" spans="1:7" x14ac:dyDescent="0.2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x14ac:dyDescent="0.25">
      <c r="A13" s="288" t="s">
        <v>473</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506</v>
      </c>
      <c r="B15" s="283">
        <f t="shared" ref="B15:G15" si="3">SUM(B16:B22)</f>
        <v>82536445.209999993</v>
      </c>
      <c r="C15" s="283">
        <f t="shared" si="3"/>
        <v>6187125.3399999999</v>
      </c>
      <c r="D15" s="283">
        <f t="shared" si="3"/>
        <v>88723570.549999997</v>
      </c>
      <c r="E15" s="283">
        <f t="shared" si="3"/>
        <v>48420209.700000003</v>
      </c>
      <c r="F15" s="283">
        <f t="shared" si="3"/>
        <v>48420209.700000003</v>
      </c>
      <c r="G15" s="283">
        <f t="shared" si="3"/>
        <v>40303360.849999994</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0</v>
      </c>
      <c r="C17" s="266">
        <v>0</v>
      </c>
      <c r="D17" s="266">
        <f t="shared" ref="D17:D22" si="5">B17+C17</f>
        <v>0</v>
      </c>
      <c r="E17" s="266">
        <v>0</v>
      </c>
      <c r="F17" s="266">
        <v>0</v>
      </c>
      <c r="G17" s="266">
        <f t="shared" si="4"/>
        <v>0</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0</v>
      </c>
      <c r="C19" s="266">
        <v>0</v>
      </c>
      <c r="D19" s="266">
        <f t="shared" si="5"/>
        <v>0</v>
      </c>
      <c r="E19" s="266">
        <v>0</v>
      </c>
      <c r="F19" s="266">
        <v>0</v>
      </c>
      <c r="G19" s="266">
        <f t="shared" si="4"/>
        <v>0</v>
      </c>
    </row>
    <row r="20" spans="1:7" x14ac:dyDescent="0.25">
      <c r="A20" s="288" t="s">
        <v>511</v>
      </c>
      <c r="B20" s="266">
        <v>0</v>
      </c>
      <c r="C20" s="266">
        <v>0</v>
      </c>
      <c r="D20" s="266">
        <f t="shared" si="5"/>
        <v>0</v>
      </c>
      <c r="E20" s="266">
        <v>0</v>
      </c>
      <c r="F20" s="266">
        <v>0</v>
      </c>
      <c r="G20" s="266">
        <f t="shared" si="4"/>
        <v>0</v>
      </c>
    </row>
    <row r="21" spans="1:7" x14ac:dyDescent="0.25">
      <c r="A21" s="288" t="s">
        <v>512</v>
      </c>
      <c r="B21" s="266">
        <v>82536445.209999993</v>
      </c>
      <c r="C21" s="266">
        <v>6187125.3399999999</v>
      </c>
      <c r="D21" s="266">
        <f t="shared" si="5"/>
        <v>88723570.549999997</v>
      </c>
      <c r="E21" s="266">
        <v>48420209.700000003</v>
      </c>
      <c r="F21" s="266">
        <v>48420209.700000003</v>
      </c>
      <c r="G21" s="266">
        <f t="shared" si="4"/>
        <v>40303360.849999994</v>
      </c>
    </row>
    <row r="22" spans="1:7" x14ac:dyDescent="0.25">
      <c r="A22" s="288" t="s">
        <v>513</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82536445.209999993</v>
      </c>
      <c r="C41" s="268">
        <f t="shared" si="12"/>
        <v>6187125.3399999999</v>
      </c>
      <c r="D41" s="268">
        <f t="shared" si="12"/>
        <v>88723570.549999997</v>
      </c>
      <c r="E41" s="268">
        <f t="shared" si="12"/>
        <v>48420209.700000003</v>
      </c>
      <c r="F41" s="268">
        <f t="shared" si="12"/>
        <v>48420209.700000003</v>
      </c>
      <c r="G41" s="268">
        <f t="shared" si="12"/>
        <v>40303360.849999994</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533</v>
      </c>
      <c r="B11" s="295">
        <f>SUM(B4:B10)</f>
        <v>0</v>
      </c>
      <c r="C11" s="295">
        <f>SUM(C4:C10)</f>
        <v>0</v>
      </c>
      <c r="D11" s="295">
        <f>SUM(D4:D10)</f>
        <v>0</v>
      </c>
    </row>
    <row r="12" spans="1:4" x14ac:dyDescent="0.25">
      <c r="A12" s="297"/>
      <c r="B12" s="298"/>
      <c r="C12" s="298"/>
      <c r="D12" s="298"/>
    </row>
    <row r="13" spans="1:4" ht="15" customHeight="1" x14ac:dyDescent="0.25">
      <c r="A13" s="504" t="s">
        <v>534</v>
      </c>
      <c r="B13" s="505"/>
      <c r="C13" s="505"/>
      <c r="D13" s="506"/>
    </row>
    <row r="14" spans="1:4" x14ac:dyDescent="0.25">
      <c r="A14" s="292" t="s">
        <v>535</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82536445.209999993</v>
      </c>
      <c r="C5" s="322">
        <f t="shared" ref="C5:G5" si="0">+C6+C9+C18+C22+C25+C30</f>
        <v>6187125.3399999999</v>
      </c>
      <c r="D5" s="322">
        <f t="shared" si="0"/>
        <v>88723570.549999997</v>
      </c>
      <c r="E5" s="322">
        <f t="shared" si="0"/>
        <v>48420209.700000003</v>
      </c>
      <c r="F5" s="322">
        <f t="shared" si="0"/>
        <v>48420209.700000003</v>
      </c>
      <c r="G5" s="322">
        <f t="shared" si="0"/>
        <v>40303360.849999994</v>
      </c>
    </row>
    <row r="6" spans="1:8" ht="20.100000000000001"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82536445.209999993</v>
      </c>
      <c r="C9" s="283">
        <f>SUM(C10:C17)</f>
        <v>6187125.3399999999</v>
      </c>
      <c r="D9" s="283">
        <f t="shared" ref="D9:G9" si="2">SUM(D10:D17)</f>
        <v>88723570.549999997</v>
      </c>
      <c r="E9" s="283">
        <f t="shared" si="2"/>
        <v>48420209.700000003</v>
      </c>
      <c r="F9" s="283">
        <f t="shared" si="2"/>
        <v>48420209.700000003</v>
      </c>
      <c r="G9" s="283">
        <f t="shared" si="2"/>
        <v>40303360.849999994</v>
      </c>
      <c r="H9" s="324">
        <v>0</v>
      </c>
    </row>
    <row r="10" spans="1:8" ht="9.9499999999999993" customHeight="1" x14ac:dyDescent="0.2">
      <c r="A10" s="325" t="s">
        <v>548</v>
      </c>
      <c r="B10" s="266">
        <v>82536445.209999993</v>
      </c>
      <c r="C10" s="266">
        <v>6187125.3399999999</v>
      </c>
      <c r="D10" s="266">
        <f t="shared" ref="D10:D17" si="3">B10+C10</f>
        <v>88723570.549999997</v>
      </c>
      <c r="E10" s="266">
        <v>48420209.700000003</v>
      </c>
      <c r="F10" s="266">
        <v>48420209.700000003</v>
      </c>
      <c r="G10" s="266">
        <f t="shared" ref="G10:G17" si="4">D10-E10</f>
        <v>40303360.849999994</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82536445.209999993</v>
      </c>
      <c r="C36" s="268">
        <f t="shared" ref="C36:G36" si="17">+C5+C32+C33+C34</f>
        <v>6187125.3399999999</v>
      </c>
      <c r="D36" s="268">
        <f t="shared" si="17"/>
        <v>88723570.549999997</v>
      </c>
      <c r="E36" s="268">
        <f t="shared" si="17"/>
        <v>48420209.700000003</v>
      </c>
      <c r="F36" s="268">
        <f t="shared" si="17"/>
        <v>48420209.700000003</v>
      </c>
      <c r="G36" s="268">
        <f t="shared" si="17"/>
        <v>40303360.849999994</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
      <c r="A3" s="512" t="s">
        <v>688</v>
      </c>
      <c r="B3" s="513"/>
      <c r="C3" s="513"/>
      <c r="D3" s="513"/>
      <c r="E3" s="513"/>
      <c r="F3" s="513"/>
      <c r="G3" s="329" t="s">
        <v>4</v>
      </c>
      <c r="H3" s="330">
        <v>3</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82536445.209999993</v>
      </c>
      <c r="D41" s="339"/>
      <c r="E41" s="339"/>
      <c r="F41" s="339"/>
    </row>
    <row r="42" spans="1:6" x14ac:dyDescent="0.2">
      <c r="A42" s="331">
        <v>8120</v>
      </c>
      <c r="B42" s="342" t="s">
        <v>631</v>
      </c>
      <c r="C42" s="343">
        <v>-22809299.989999998</v>
      </c>
      <c r="D42" s="339"/>
      <c r="E42" s="339"/>
      <c r="F42" s="339"/>
    </row>
    <row r="43" spans="1:6" x14ac:dyDescent="0.2">
      <c r="A43" s="331">
        <v>8130</v>
      </c>
      <c r="B43" s="342" t="s">
        <v>632</v>
      </c>
      <c r="C43" s="343">
        <v>100000</v>
      </c>
      <c r="D43" s="339"/>
      <c r="E43" s="339"/>
      <c r="F43" s="339"/>
    </row>
    <row r="44" spans="1:6" x14ac:dyDescent="0.2">
      <c r="A44" s="331">
        <v>8140</v>
      </c>
      <c r="B44" s="342" t="s">
        <v>633</v>
      </c>
      <c r="C44" s="343">
        <v>0</v>
      </c>
      <c r="D44" s="339"/>
      <c r="E44" s="339"/>
      <c r="F44" s="339"/>
    </row>
    <row r="45" spans="1:6" x14ac:dyDescent="0.2">
      <c r="A45" s="331">
        <v>8150</v>
      </c>
      <c r="B45" s="342" t="s">
        <v>634</v>
      </c>
      <c r="C45" s="343">
        <v>-59827145.219999999</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-82536445.209999993</v>
      </c>
    </row>
    <row r="51" spans="1:3" x14ac:dyDescent="0.2">
      <c r="A51" s="331">
        <v>8220</v>
      </c>
      <c r="B51" s="342" t="s">
        <v>637</v>
      </c>
      <c r="C51" s="349">
        <v>20403439.02</v>
      </c>
    </row>
    <row r="52" spans="1:3" x14ac:dyDescent="0.2">
      <c r="A52" s="331">
        <v>8230</v>
      </c>
      <c r="B52" s="342" t="s">
        <v>638</v>
      </c>
      <c r="C52" s="349">
        <v>-6187125.3399999999</v>
      </c>
    </row>
    <row r="53" spans="1:3" x14ac:dyDescent="0.2">
      <c r="A53" s="331">
        <v>8240</v>
      </c>
      <c r="B53" s="342" t="s">
        <v>639</v>
      </c>
      <c r="C53" s="349">
        <v>19899921.829999998</v>
      </c>
    </row>
    <row r="54" spans="1:3" x14ac:dyDescent="0.2">
      <c r="A54" s="331">
        <v>8250</v>
      </c>
      <c r="B54" s="342" t="s">
        <v>640</v>
      </c>
      <c r="C54" s="349">
        <v>0</v>
      </c>
    </row>
    <row r="55" spans="1:3" x14ac:dyDescent="0.2">
      <c r="A55" s="331">
        <v>8260</v>
      </c>
      <c r="B55" s="342" t="s">
        <v>641</v>
      </c>
      <c r="C55" s="349">
        <v>0</v>
      </c>
    </row>
    <row r="56" spans="1:3" x14ac:dyDescent="0.2">
      <c r="A56" s="331">
        <v>8270</v>
      </c>
      <c r="B56" s="342" t="s">
        <v>642</v>
      </c>
      <c r="C56" s="349">
        <v>48420209.700000003</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3</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12727193.649999999</v>
      </c>
      <c r="E7" s="196" t="s">
        <v>272</v>
      </c>
      <c r="F7" s="369">
        <f>IF(ESF!E36&gt;0,ESF!E36,ESF!E36*-1)</f>
        <v>12727193.65</v>
      </c>
      <c r="G7" s="393">
        <f>ROUND(D7-F7,2)</f>
        <v>0</v>
      </c>
      <c r="H7" s="84" t="s">
        <v>282</v>
      </c>
      <c r="I7" s="380">
        <f>IF(ACT!C66&gt;0,ACT!C66,ACT!C66*-1)</f>
        <v>3261766.9900000095</v>
      </c>
      <c r="J7" s="85" t="s">
        <v>272</v>
      </c>
      <c r="K7" s="386">
        <f>IF(ESF!F36&gt;0,ESF!F36,ESF!F36*-1)</f>
        <v>3261766.99</v>
      </c>
      <c r="L7" s="388">
        <f>ROUND(I7-K7,2)</f>
        <v>0</v>
      </c>
      <c r="M7" s="136" t="s">
        <v>203</v>
      </c>
    </row>
    <row r="8" spans="1:13" ht="12" thickBot="1" x14ac:dyDescent="0.25">
      <c r="A8" s="72" t="s">
        <v>12</v>
      </c>
      <c r="B8" s="171" t="s">
        <v>203</v>
      </c>
      <c r="C8" s="86" t="s">
        <v>283</v>
      </c>
      <c r="D8" s="369">
        <f>IF(ACT!B66&gt;0,ACT!B66,ACT!B66*-1)</f>
        <v>12727193.649999999</v>
      </c>
      <c r="E8" s="87" t="s">
        <v>286</v>
      </c>
      <c r="F8" s="375">
        <f>IF(VHP!D28&gt;0,VHP!D28,VHP!D28*-1)</f>
        <v>12727193.65</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3261766.9900000095</v>
      </c>
      <c r="J9" s="91" t="s">
        <v>286</v>
      </c>
      <c r="K9" s="381">
        <f>IF(VHP!D10&gt;0,VHP!D10,VHP!D10*-1)</f>
        <v>3261766.99</v>
      </c>
      <c r="L9" s="389">
        <f>ROUND(I9-K9,2)</f>
        <v>0</v>
      </c>
      <c r="M9" s="137" t="s">
        <v>203</v>
      </c>
    </row>
    <row r="10" spans="1:13" ht="12" thickBot="1" x14ac:dyDescent="0.25">
      <c r="A10" s="72" t="s">
        <v>17</v>
      </c>
      <c r="B10" s="171" t="s">
        <v>203</v>
      </c>
      <c r="C10" s="92"/>
      <c r="D10" s="93"/>
      <c r="E10" s="94" t="s">
        <v>286</v>
      </c>
      <c r="F10" s="375">
        <f>IF(VHP!D29&gt;0,VHP!D29,VHP!D29*-1)</f>
        <v>3261766.99</v>
      </c>
      <c r="G10" s="95"/>
      <c r="H10" s="90" t="s">
        <v>282</v>
      </c>
      <c r="I10" s="380">
        <f>IF(ACT!C66&gt;0,ACT!C66,ACT!C66*-1)</f>
        <v>3261766.9900000095</v>
      </c>
      <c r="J10" s="96"/>
      <c r="K10" s="97"/>
      <c r="L10" s="389">
        <f>ROUND(F10-I10,2)</f>
        <v>0</v>
      </c>
      <c r="M10" s="137" t="s">
        <v>203</v>
      </c>
    </row>
    <row r="11" spans="1:13" ht="12" thickBot="1" x14ac:dyDescent="0.25">
      <c r="A11" s="72" t="s">
        <v>19</v>
      </c>
      <c r="B11" s="171" t="s">
        <v>203</v>
      </c>
      <c r="C11" s="90" t="s">
        <v>272</v>
      </c>
      <c r="D11" s="370">
        <f>IF(ESF!E36&gt;0,ESF!E36,ESF!E36*-1)</f>
        <v>12727193.65</v>
      </c>
      <c r="E11" s="98" t="s">
        <v>282</v>
      </c>
      <c r="F11" s="376">
        <f>IF(ACT!B66&gt;0,ACT!B66,ACT!B66*-1)</f>
        <v>12727193.649999999</v>
      </c>
      <c r="G11" s="395">
        <f t="shared" ref="G11:G28" si="0">ROUND(D11-F11,2)</f>
        <v>0</v>
      </c>
      <c r="H11" s="90" t="s">
        <v>272</v>
      </c>
      <c r="I11" s="382">
        <f>IF(ESF!F36&gt;0,ESF!F36,ESF!F36*-1)</f>
        <v>3261766.99</v>
      </c>
      <c r="J11" s="91" t="s">
        <v>282</v>
      </c>
      <c r="K11" s="381">
        <f>IF(ACT!C66&gt;0,ACT!C66,ACT!C66*-1)</f>
        <v>3261766.9900000095</v>
      </c>
      <c r="L11" s="389">
        <f>ROUND(I11-K11,2)</f>
        <v>0</v>
      </c>
      <c r="M11" s="137" t="s">
        <v>203</v>
      </c>
    </row>
    <row r="12" spans="1:13" x14ac:dyDescent="0.2">
      <c r="A12" s="73" t="s">
        <v>22</v>
      </c>
      <c r="B12" s="173" t="s">
        <v>160</v>
      </c>
      <c r="C12" s="99" t="s">
        <v>272</v>
      </c>
      <c r="D12" s="371">
        <f>IF(ESF!B5&gt;0,ESF!B5,ESF!B5*-1)</f>
        <v>18082327.370000001</v>
      </c>
      <c r="E12" s="100" t="s">
        <v>273</v>
      </c>
      <c r="F12" s="377">
        <f>IF(EAA!E5&gt;0,EAA!E5,EAA!E5*-1)</f>
        <v>18082327.36999999</v>
      </c>
      <c r="G12" s="396">
        <f t="shared" si="0"/>
        <v>0</v>
      </c>
      <c r="H12" s="101" t="s">
        <v>272</v>
      </c>
      <c r="I12" s="383">
        <f>IF(ESF!C5&gt;0,ESF!C5,ESF!C5*-1)</f>
        <v>8936260.6600000001</v>
      </c>
      <c r="J12" s="102" t="s">
        <v>273</v>
      </c>
      <c r="K12" s="387">
        <f>IF(EAA!B5&gt;0,EAA!B5,EAA!B5*-1)</f>
        <v>8936260.6600000001</v>
      </c>
      <c r="L12" s="390">
        <f t="shared" ref="L12:L43" si="1">ROUND(I12-K12,2)</f>
        <v>0</v>
      </c>
      <c r="M12" s="138" t="s">
        <v>160</v>
      </c>
    </row>
    <row r="13" spans="1:13" x14ac:dyDescent="0.2">
      <c r="A13" s="74"/>
      <c r="B13" s="164" t="s">
        <v>162</v>
      </c>
      <c r="C13" s="103" t="s">
        <v>272</v>
      </c>
      <c r="D13" s="372">
        <f>IF(ESF!B6&gt;0,ESF!B6,ESF!B6*-1)</f>
        <v>550050.11</v>
      </c>
      <c r="E13" s="104" t="s">
        <v>273</v>
      </c>
      <c r="F13" s="378">
        <f>IF(EAA!E6&gt;0,EAA!E6,EAA!E6*-1)</f>
        <v>550050.1099999994</v>
      </c>
      <c r="G13" s="397">
        <f t="shared" si="0"/>
        <v>0</v>
      </c>
      <c r="H13" s="105" t="s">
        <v>272</v>
      </c>
      <c r="I13" s="384">
        <f>IF(ESF!C6&gt;0,ESF!C6,ESF!C6*-1)</f>
        <v>540455.49</v>
      </c>
      <c r="J13" s="94" t="s">
        <v>273</v>
      </c>
      <c r="K13" s="384">
        <f>IF(EAA!B6&gt;0,EAA!B6,EAA!B6*-1)</f>
        <v>540455.49</v>
      </c>
      <c r="L13" s="391">
        <f t="shared" si="1"/>
        <v>0</v>
      </c>
      <c r="M13" s="139" t="s">
        <v>162</v>
      </c>
    </row>
    <row r="14" spans="1:13" x14ac:dyDescent="0.2">
      <c r="A14" s="74"/>
      <c r="B14" s="164" t="s">
        <v>164</v>
      </c>
      <c r="C14" s="103" t="s">
        <v>272</v>
      </c>
      <c r="D14" s="372">
        <f>IF(ESF!B7&gt;0,ESF!B7,ESF!B7*-1)</f>
        <v>20880</v>
      </c>
      <c r="E14" s="104" t="s">
        <v>273</v>
      </c>
      <c r="F14" s="378">
        <f>IF(EAA!E7&gt;0,EAA!E7,EAA!E7*-1)</f>
        <v>20880</v>
      </c>
      <c r="G14" s="397">
        <f t="shared" si="0"/>
        <v>0</v>
      </c>
      <c r="H14" s="105" t="s">
        <v>272</v>
      </c>
      <c r="I14" s="384">
        <f>IF(ESF!C7&gt;0,ESF!C7,ESF!C7*-1)</f>
        <v>20880</v>
      </c>
      <c r="J14" s="94" t="s">
        <v>273</v>
      </c>
      <c r="K14" s="384">
        <f>IF(EAA!B7&gt;0,EAA!B7,EAA!B7*-1)</f>
        <v>20880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7321.32</v>
      </c>
      <c r="E16" s="104" t="s">
        <v>273</v>
      </c>
      <c r="F16" s="378">
        <f>IF(EAA!E9&gt;0,EAA!E9,EAA!E9*-1)</f>
        <v>7321.32</v>
      </c>
      <c r="G16" s="397">
        <f t="shared" si="0"/>
        <v>0</v>
      </c>
      <c r="H16" s="105" t="s">
        <v>272</v>
      </c>
      <c r="I16" s="384">
        <f>IF(ESF!C9&gt;0,ESF!C9,ESF!C9*-1)</f>
        <v>7321.32</v>
      </c>
      <c r="J16" s="94" t="s">
        <v>273</v>
      </c>
      <c r="K16" s="384">
        <f>IF(EAA!B9&gt;0,EAA!B9,EAA!B9*-1)</f>
        <v>7321.32</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178119.1</v>
      </c>
      <c r="E21" s="104" t="s">
        <v>273</v>
      </c>
      <c r="F21" s="378">
        <f>IF(EAA!E15&gt;0,EAA!E15,EAA!E15*-1)</f>
        <v>178119.1</v>
      </c>
      <c r="G21" s="397">
        <f t="shared" si="0"/>
        <v>0</v>
      </c>
      <c r="H21" s="105" t="s">
        <v>272</v>
      </c>
      <c r="I21" s="384">
        <f>IF(ESF!C18&gt;0,ESF!C18,ESF!C18*-1)</f>
        <v>178119.1</v>
      </c>
      <c r="J21" s="94" t="s">
        <v>273</v>
      </c>
      <c r="K21" s="384">
        <f>IF(EAA!B15&gt;0,EAA!B15,EAA!B15*-1)</f>
        <v>178119.1</v>
      </c>
      <c r="L21" s="391">
        <f t="shared" si="1"/>
        <v>0</v>
      </c>
      <c r="M21" s="139" t="s">
        <v>182</v>
      </c>
    </row>
    <row r="22" spans="1:13" x14ac:dyDescent="0.2">
      <c r="A22" s="74"/>
      <c r="B22" s="164" t="s">
        <v>184</v>
      </c>
      <c r="C22" s="103" t="s">
        <v>272</v>
      </c>
      <c r="D22" s="372">
        <f>IF(ESF!B19&gt;0,ESF!B19,ESF!B19*-1)</f>
        <v>15170632.460000001</v>
      </c>
      <c r="E22" s="104" t="s">
        <v>273</v>
      </c>
      <c r="F22" s="378">
        <f>IF(EAA!E16&gt;0,EAA!E16,EAA!E16*-1)</f>
        <v>15170632.460000001</v>
      </c>
      <c r="G22" s="397">
        <f t="shared" si="0"/>
        <v>0</v>
      </c>
      <c r="H22" s="105" t="s">
        <v>272</v>
      </c>
      <c r="I22" s="384">
        <f>IF(ESF!C19&gt;0,ESF!C19,ESF!C19*-1)</f>
        <v>13850374.33</v>
      </c>
      <c r="J22" s="94" t="s">
        <v>273</v>
      </c>
      <c r="K22" s="384">
        <f>IF(EAA!B16&gt;0,EAA!B16,EAA!B16*-1)</f>
        <v>13850374.33</v>
      </c>
      <c r="L22" s="391">
        <f t="shared" si="1"/>
        <v>0</v>
      </c>
      <c r="M22" s="139" t="s">
        <v>184</v>
      </c>
    </row>
    <row r="23" spans="1:13" x14ac:dyDescent="0.2">
      <c r="A23" s="74"/>
      <c r="B23" s="164" t="s">
        <v>186</v>
      </c>
      <c r="C23" s="103" t="s">
        <v>272</v>
      </c>
      <c r="D23" s="372">
        <f>IF(ESF!B20&gt;0,ESF!B20,ESF!B20*-1)</f>
        <v>184989.22</v>
      </c>
      <c r="E23" s="104" t="s">
        <v>273</v>
      </c>
      <c r="F23" s="378">
        <f>IF(EAA!E17&gt;0,EAA!E17,EAA!E17*-1)</f>
        <v>184989.22</v>
      </c>
      <c r="G23" s="397">
        <f t="shared" si="0"/>
        <v>0</v>
      </c>
      <c r="H23" s="105" t="s">
        <v>272</v>
      </c>
      <c r="I23" s="384">
        <f>IF(ESF!C20&gt;0,ESF!C20,ESF!C20*-1)</f>
        <v>184989.22</v>
      </c>
      <c r="J23" s="94" t="s">
        <v>273</v>
      </c>
      <c r="K23" s="384">
        <f>IF(EAA!B17&gt;0,EAA!B17,EAA!B17*-1)</f>
        <v>184989.22</v>
      </c>
      <c r="L23" s="391">
        <f t="shared" si="1"/>
        <v>0</v>
      </c>
      <c r="M23" s="139" t="s">
        <v>186</v>
      </c>
    </row>
    <row r="24" spans="1:13" ht="22.5" x14ac:dyDescent="0.2">
      <c r="A24" s="74"/>
      <c r="B24" s="164" t="s">
        <v>188</v>
      </c>
      <c r="C24" s="103" t="s">
        <v>272</v>
      </c>
      <c r="D24" s="372">
        <f>IF(ESF!B21&gt;0,ESF!B21,ESF!B21*-1)</f>
        <v>8188170.4000000004</v>
      </c>
      <c r="E24" s="104" t="s">
        <v>273</v>
      </c>
      <c r="F24" s="378">
        <f>IF(EAA!E18&gt;0,EAA!E18,EAA!E18*-1)</f>
        <v>8188170.4000000004</v>
      </c>
      <c r="G24" s="397">
        <f t="shared" si="0"/>
        <v>0</v>
      </c>
      <c r="H24" s="105" t="s">
        <v>272</v>
      </c>
      <c r="I24" s="384">
        <f>IF(ESF!C21&gt;0,ESF!C21,ESF!C21*-1)</f>
        <v>8188170.4000000004</v>
      </c>
      <c r="J24" s="94" t="s">
        <v>273</v>
      </c>
      <c r="K24" s="384">
        <f>IF(EAA!B18&gt;0,EAA!B18,EAA!B18*-1)</f>
        <v>8188170.4000000004</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18082327.370000001</v>
      </c>
      <c r="E28" s="111" t="s">
        <v>274</v>
      </c>
      <c r="F28" s="370">
        <f>IF(EFE!B65&gt;0,EFE!B65,EFE!B65*-1)</f>
        <v>18082327.370000001</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8936260.6600000001</v>
      </c>
      <c r="J29" s="91" t="s">
        <v>274</v>
      </c>
      <c r="K29" s="381">
        <f>IF(EFE!B63&gt;0,EFE!B63,EFE!B63*-1)</f>
        <v>8936260.6600000001</v>
      </c>
      <c r="L29" s="389">
        <f t="shared" si="1"/>
        <v>0</v>
      </c>
      <c r="M29" s="137" t="s">
        <v>160</v>
      </c>
    </row>
    <row r="30" spans="1:13" ht="12" thickBot="1" x14ac:dyDescent="0.25">
      <c r="A30" s="72" t="s">
        <v>30</v>
      </c>
      <c r="B30" s="171" t="s">
        <v>275</v>
      </c>
      <c r="C30" s="110" t="s">
        <v>272</v>
      </c>
      <c r="D30" s="370">
        <f>IF(ESF!B28&gt;0,ESF!B28,ESF!B28*-1)</f>
        <v>26006149.18</v>
      </c>
      <c r="E30" s="91" t="s">
        <v>272</v>
      </c>
      <c r="F30" s="370">
        <f>IF(ESF!E48&gt;0,ESF!E48,ESF!E48*-1)</f>
        <v>26006149.179999996</v>
      </c>
      <c r="G30" s="395">
        <f>ROUND(D30-F30,2)</f>
        <v>0</v>
      </c>
      <c r="H30" s="90" t="s">
        <v>272</v>
      </c>
      <c r="I30" s="381">
        <f>IF(ESF!C28&gt;0,ESF!C28,ESF!C28*-1)</f>
        <v>15530229.720000001</v>
      </c>
      <c r="J30" s="91" t="s">
        <v>272</v>
      </c>
      <c r="K30" s="381">
        <f>IF(ESF!F48&gt;0,ESF!F48,ESF!F48*-1)</f>
        <v>15530229.720000001</v>
      </c>
      <c r="L30" s="389">
        <f t="shared" si="1"/>
        <v>0</v>
      </c>
      <c r="M30" s="137" t="s">
        <v>275</v>
      </c>
    </row>
    <row r="31" spans="1:13" ht="12" thickBot="1" x14ac:dyDescent="0.25">
      <c r="A31" s="72" t="s">
        <v>33</v>
      </c>
      <c r="B31" s="171" t="s">
        <v>276</v>
      </c>
      <c r="C31" s="110" t="s">
        <v>272</v>
      </c>
      <c r="D31" s="370">
        <f>IF(ESF!E26&gt;0,ESF!E26,ESF!E26*-1)</f>
        <v>478877.99</v>
      </c>
      <c r="E31" s="91" t="s">
        <v>287</v>
      </c>
      <c r="F31" s="370">
        <f>IF(ADP!E34&gt;0,ADP!E34,ADP!E34*-1)</f>
        <v>478877.99</v>
      </c>
      <c r="G31" s="395">
        <f>ROUND(D31-F31,2)</f>
        <v>0</v>
      </c>
      <c r="H31" s="90" t="s">
        <v>272</v>
      </c>
      <c r="I31" s="381">
        <f>IF(ESF!F26&gt;0,ESF!F26,ESF!F26*-1)</f>
        <v>2683782.1800000002</v>
      </c>
      <c r="J31" s="91" t="s">
        <v>287</v>
      </c>
      <c r="K31" s="381">
        <f>IF(ADP!D34&gt;0,ADP!D34,ADP!D34*-1)</f>
        <v>2683782.1800000002</v>
      </c>
      <c r="L31" s="389">
        <f t="shared" si="1"/>
        <v>0</v>
      </c>
      <c r="M31" s="137" t="s">
        <v>276</v>
      </c>
    </row>
    <row r="32" spans="1:13" x14ac:dyDescent="0.2">
      <c r="A32" s="73" t="s">
        <v>36</v>
      </c>
      <c r="B32" s="175" t="s">
        <v>199</v>
      </c>
      <c r="C32" s="439"/>
      <c r="D32" s="440"/>
      <c r="E32" s="440"/>
      <c r="F32" s="440"/>
      <c r="G32" s="441"/>
      <c r="H32" s="101" t="s">
        <v>272</v>
      </c>
      <c r="I32" s="399">
        <f>IF(ESF!F30&gt;0,ESF!F30,ESF!F30*-1)</f>
        <v>600</v>
      </c>
      <c r="J32" s="102" t="s">
        <v>286</v>
      </c>
      <c r="K32" s="399">
        <f>IF(VHP!B4&gt;0,VHP!B4,VHP!B4*-1)</f>
        <v>600</v>
      </c>
      <c r="L32" s="390">
        <f t="shared" si="1"/>
        <v>0</v>
      </c>
      <c r="M32" s="141" t="s">
        <v>199</v>
      </c>
    </row>
    <row r="33" spans="1:15" ht="12" thickBot="1" x14ac:dyDescent="0.25">
      <c r="A33" s="75"/>
      <c r="B33" s="176" t="s">
        <v>199</v>
      </c>
      <c r="C33" s="437"/>
      <c r="D33" s="438"/>
      <c r="E33" s="438"/>
      <c r="F33" s="438"/>
      <c r="G33" s="442"/>
      <c r="H33" s="117" t="s">
        <v>272</v>
      </c>
      <c r="I33" s="385">
        <f>IF(ESF!F30&gt;0,ESF!F30,ESF!F30*-1)</f>
        <v>600</v>
      </c>
      <c r="J33" s="109" t="s">
        <v>286</v>
      </c>
      <c r="K33" s="385">
        <f>IF(VHP!F4&gt;0,VHP!F4,VHP!F4*-1)</f>
        <v>600</v>
      </c>
      <c r="L33" s="392">
        <f t="shared" si="1"/>
        <v>0</v>
      </c>
      <c r="M33" s="142" t="s">
        <v>199</v>
      </c>
    </row>
    <row r="34" spans="1:15" ht="12" thickBot="1" x14ac:dyDescent="0.25">
      <c r="A34" s="72" t="s">
        <v>39</v>
      </c>
      <c r="B34" s="177" t="s">
        <v>202</v>
      </c>
      <c r="C34" s="437"/>
      <c r="D34" s="438"/>
      <c r="E34" s="438"/>
      <c r="F34" s="438"/>
      <c r="G34" s="442"/>
      <c r="H34" s="90" t="s">
        <v>272</v>
      </c>
      <c r="I34" s="381">
        <f>IF(ESF!F35&gt;0,ESF!F35,ESF!F35*-1)</f>
        <v>12845847.540000001</v>
      </c>
      <c r="J34" s="91" t="s">
        <v>286</v>
      </c>
      <c r="K34" s="381">
        <f>IF(VHP!F9&gt;0,VHP!F9,VHP!F9*-1)</f>
        <v>12845847.540000001</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25527271.189999998</v>
      </c>
      <c r="E37" s="91" t="s">
        <v>286</v>
      </c>
      <c r="F37" s="370">
        <f>IF(VHP!F38&gt;0,VHP!F38,VHP!F38*-1)</f>
        <v>25527271.190000001</v>
      </c>
      <c r="G37" s="400">
        <f>ROUND(D37-F37,2)</f>
        <v>0</v>
      </c>
      <c r="H37" s="90" t="s">
        <v>272</v>
      </c>
      <c r="I37" s="381">
        <f>IF(ESF!F46&gt;0,ESF!F46,ESF!F46*-1)</f>
        <v>12846447.540000001</v>
      </c>
      <c r="J37" s="91" t="s">
        <v>286</v>
      </c>
      <c r="K37" s="381">
        <f>IF(VHP!F20&gt;0,VHP!F20,VHP!F20*-1)</f>
        <v>12846447.540000001</v>
      </c>
      <c r="L37" s="389">
        <f t="shared" si="1"/>
        <v>0</v>
      </c>
      <c r="M37" s="146" t="s">
        <v>277</v>
      </c>
    </row>
    <row r="38" spans="1:15" ht="22.5" x14ac:dyDescent="0.2">
      <c r="A38" s="73" t="s">
        <v>45</v>
      </c>
      <c r="B38" s="175" t="s">
        <v>278</v>
      </c>
      <c r="C38" s="439"/>
      <c r="D38" s="440"/>
      <c r="E38" s="440"/>
      <c r="F38" s="440"/>
      <c r="G38" s="441"/>
      <c r="H38" s="101" t="s">
        <v>286</v>
      </c>
      <c r="I38" s="399">
        <f>IF(VHP!B4&gt;0,VHP!B4,VHP!B4*-1)</f>
        <v>600</v>
      </c>
      <c r="J38" s="102" t="s">
        <v>272</v>
      </c>
      <c r="K38" s="399">
        <f>IF(ESF!F30&gt;0,ESF!F30,ESF!F30*-1)</f>
        <v>600</v>
      </c>
      <c r="L38" s="390">
        <f t="shared" si="1"/>
        <v>0</v>
      </c>
      <c r="M38" s="141" t="s">
        <v>278</v>
      </c>
    </row>
    <row r="39" spans="1:15" ht="23.25" thickBot="1" x14ac:dyDescent="0.25">
      <c r="A39" s="75"/>
      <c r="B39" s="176" t="s">
        <v>278</v>
      </c>
      <c r="C39" s="437"/>
      <c r="D39" s="438"/>
      <c r="E39" s="438"/>
      <c r="F39" s="438"/>
      <c r="G39" s="442"/>
      <c r="H39" s="117" t="s">
        <v>286</v>
      </c>
      <c r="I39" s="385">
        <f>IF(VHP!F4&gt;0,VHP!F4,VHP!F4*-1)</f>
        <v>600</v>
      </c>
      <c r="J39" s="109" t="s">
        <v>272</v>
      </c>
      <c r="K39" s="385">
        <f>IF(ESF!F30&gt;0,ESF!F30,ESF!F30*-1)</f>
        <v>600</v>
      </c>
      <c r="L39" s="392">
        <f t="shared" si="1"/>
        <v>0</v>
      </c>
      <c r="M39" s="142" t="s">
        <v>278</v>
      </c>
    </row>
    <row r="40" spans="1:15" ht="23.25" thickBot="1" x14ac:dyDescent="0.25">
      <c r="A40" s="72" t="s">
        <v>48</v>
      </c>
      <c r="B40" s="177" t="s">
        <v>279</v>
      </c>
      <c r="C40" s="437"/>
      <c r="D40" s="438"/>
      <c r="E40" s="438"/>
      <c r="F40" s="438"/>
      <c r="G40" s="442"/>
      <c r="H40" s="90" t="s">
        <v>286</v>
      </c>
      <c r="I40" s="381">
        <f>IF(VHP!F9&gt;0,VHP!F9,VHP!F9*-1)</f>
        <v>12845847.540000001</v>
      </c>
      <c r="J40" s="91" t="s">
        <v>272</v>
      </c>
      <c r="K40" s="381">
        <f>IF(ESF!F35&gt;0,ESF!F35,ESF!F35*-1)</f>
        <v>12845847.540000001</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25527271.190000001</v>
      </c>
      <c r="E43" s="91" t="s">
        <v>272</v>
      </c>
      <c r="F43" s="118">
        <f>IF(ESF!E46&gt;0,ESF!E46,ESF!E46*-1)</f>
        <v>25527271.189999998</v>
      </c>
      <c r="G43" s="395">
        <f t="shared" ref="G43:G49" si="2">ROUND(D43-F43,2)</f>
        <v>0</v>
      </c>
      <c r="H43" s="90" t="s">
        <v>286</v>
      </c>
      <c r="I43" s="381">
        <f>IF(VHP!F20&gt;0,VHP!F20,VHP!F20*-1)</f>
        <v>12846447.540000001</v>
      </c>
      <c r="J43" s="91" t="s">
        <v>272</v>
      </c>
      <c r="K43" s="381">
        <f>IF(ESF!F46&gt;0,ESF!F46,ESF!F46*-1)</f>
        <v>12846447.540000001</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3215396.99</v>
      </c>
      <c r="E50" s="91" t="s">
        <v>288</v>
      </c>
      <c r="F50" s="118">
        <f>IF(CSF!$B52&gt;0,CSF!$B52,CSF!$C52)</f>
        <v>3215396.99</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9465426.6600000001</v>
      </c>
      <c r="E53" s="91" t="s">
        <v>288</v>
      </c>
      <c r="F53" s="118">
        <f>IF(CSF!$B51&gt;0,CSF!$B51,CSF!$C51)</f>
        <v>9465426.6600000001</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12727193.65</v>
      </c>
      <c r="E54" s="102" t="s">
        <v>272</v>
      </c>
      <c r="F54" s="119">
        <f>IF(ESF!E36&gt;0,ESF!E36,ESF!E36*-1)</f>
        <v>12727193.65</v>
      </c>
      <c r="G54" s="396">
        <f t="shared" si="3"/>
        <v>0</v>
      </c>
      <c r="H54" s="437"/>
      <c r="I54" s="438"/>
      <c r="J54" s="438"/>
      <c r="K54" s="438"/>
      <c r="L54" s="442"/>
      <c r="M54" s="152" t="s">
        <v>154</v>
      </c>
    </row>
    <row r="55" spans="1:13" ht="12" thickBot="1" x14ac:dyDescent="0.25">
      <c r="A55" s="75"/>
      <c r="B55" s="183" t="s">
        <v>154</v>
      </c>
      <c r="C55" s="117" t="s">
        <v>286</v>
      </c>
      <c r="D55" s="379">
        <f>IF(VHP!D28&gt;0,VHP!D28,VHP!D28*-1)</f>
        <v>12727193.65</v>
      </c>
      <c r="E55" s="109" t="s">
        <v>282</v>
      </c>
      <c r="F55" s="124">
        <f>IF(ACT!B66&gt;0,ACT!B66,ACT!B66*-1)</f>
        <v>12727193.649999999</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3261766.99</v>
      </c>
      <c r="J56" s="131" t="s">
        <v>272</v>
      </c>
      <c r="K56" s="387">
        <f>IF(ESF!F36&gt;0,ESF!F36,ESF!F36*-1)</f>
        <v>3261766.99</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3261766.99</v>
      </c>
      <c r="J57" s="94" t="s">
        <v>282</v>
      </c>
      <c r="K57" s="405">
        <f>IF(ACT!C66&gt;0,ACT!C66,ACT!C66*-1)</f>
        <v>3261766.9900000095</v>
      </c>
      <c r="L57" s="391">
        <f t="shared" si="4"/>
        <v>0</v>
      </c>
      <c r="M57" s="150" t="s">
        <v>154</v>
      </c>
    </row>
    <row r="58" spans="1:13" x14ac:dyDescent="0.2">
      <c r="A58" s="83" t="s">
        <v>68</v>
      </c>
      <c r="B58" s="193" t="s">
        <v>204</v>
      </c>
      <c r="C58" s="122" t="s">
        <v>286</v>
      </c>
      <c r="D58" s="378">
        <f>IF(VHP!D29&gt;0,VHP!D29,VHP!D29*-1)</f>
        <v>3261766.99</v>
      </c>
      <c r="E58" s="128"/>
      <c r="F58" s="128"/>
      <c r="G58" s="128"/>
      <c r="H58" s="449"/>
      <c r="I58" s="450"/>
      <c r="J58" s="94" t="s">
        <v>272</v>
      </c>
      <c r="K58" s="384">
        <f>IF(ESF!F36&gt;0,ESF!F36,ESF!F36*-1)</f>
        <v>3261766.99</v>
      </c>
      <c r="L58" s="391">
        <f>ROUND((D58-K58),2)</f>
        <v>0</v>
      </c>
      <c r="M58" s="154" t="s">
        <v>204</v>
      </c>
    </row>
    <row r="59" spans="1:13" ht="12" thickBot="1" x14ac:dyDescent="0.25">
      <c r="A59" s="75"/>
      <c r="B59" s="194" t="s">
        <v>204</v>
      </c>
      <c r="C59" s="125" t="s">
        <v>286</v>
      </c>
      <c r="D59" s="404">
        <f>IF(VHP!D29&gt;0,VHP!D29,VHP!D29*-1)</f>
        <v>3261766.99</v>
      </c>
      <c r="E59" s="128"/>
      <c r="F59" s="128"/>
      <c r="G59" s="128"/>
      <c r="H59" s="443"/>
      <c r="I59" s="451"/>
      <c r="J59" s="126" t="s">
        <v>283</v>
      </c>
      <c r="K59" s="405">
        <f>IF(ACT!C66&gt;0,ACT!C66,ACT!C66*-1)</f>
        <v>3261766.9900000095</v>
      </c>
      <c r="L59" s="407">
        <f>ROUND((D59-K59),2)</f>
        <v>0</v>
      </c>
      <c r="M59" s="149" t="s">
        <v>204</v>
      </c>
    </row>
    <row r="60" spans="1:13" ht="12" thickBot="1" x14ac:dyDescent="0.25">
      <c r="A60" s="78" t="s">
        <v>72</v>
      </c>
      <c r="B60" s="186" t="s">
        <v>160</v>
      </c>
      <c r="C60" s="90" t="s">
        <v>288</v>
      </c>
      <c r="D60" s="118">
        <f>IF(CSF!$B5&gt;0,CSF!$B5,CSF!$C5)</f>
        <v>9146066.7100000009</v>
      </c>
      <c r="E60" s="91" t="s">
        <v>274</v>
      </c>
      <c r="F60" s="118">
        <f>IF(EFE!B61&gt;0,EFE!B61,EFE!B61*-1)</f>
        <v>9146066.709999999</v>
      </c>
      <c r="G60" s="395">
        <f>ROUND(D60-F60,2)</f>
        <v>0</v>
      </c>
      <c r="H60" s="439"/>
      <c r="I60" s="440"/>
      <c r="J60" s="440"/>
      <c r="K60" s="440"/>
      <c r="L60" s="441"/>
      <c r="M60" s="155" t="s">
        <v>160</v>
      </c>
    </row>
    <row r="61" spans="1:13" x14ac:dyDescent="0.2">
      <c r="A61" s="76" t="s">
        <v>75</v>
      </c>
      <c r="B61" s="187" t="s">
        <v>160</v>
      </c>
      <c r="C61" s="101" t="s">
        <v>288</v>
      </c>
      <c r="D61" s="119">
        <f>IF(CSF!$B5&gt;0,CSF!$B5,CSF!$C5)</f>
        <v>9146066.7100000009</v>
      </c>
      <c r="E61" s="102" t="s">
        <v>273</v>
      </c>
      <c r="F61" s="119">
        <f>IF(EAA!F5&gt;0,EAA!F5,EAA!F5*-1)</f>
        <v>9146066.7099999897</v>
      </c>
      <c r="G61" s="396">
        <f>ROUND(D61-F61,2)</f>
        <v>0</v>
      </c>
      <c r="H61" s="437"/>
      <c r="I61" s="438"/>
      <c r="J61" s="438"/>
      <c r="K61" s="438"/>
      <c r="L61" s="442"/>
      <c r="M61" s="156" t="s">
        <v>160</v>
      </c>
    </row>
    <row r="62" spans="1:13" x14ac:dyDescent="0.2">
      <c r="A62" s="79"/>
      <c r="B62" s="167" t="s">
        <v>162</v>
      </c>
      <c r="C62" s="122" t="s">
        <v>288</v>
      </c>
      <c r="D62" s="123">
        <f>IF(CSF!$B6&gt;0,CSF!$B6,CSF!$C6)</f>
        <v>9594.6200000000008</v>
      </c>
      <c r="E62" s="94" t="s">
        <v>273</v>
      </c>
      <c r="F62" s="123">
        <f>IF(EAA!F6&gt;0,EAA!F6,EAA!F6*-1)</f>
        <v>9594.6199999994133</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1320258.1299999999</v>
      </c>
      <c r="E71" s="94" t="s">
        <v>273</v>
      </c>
      <c r="F71" s="123">
        <f>IF(EAA!F16&gt;0,EAA!F16,EAA!F16*-1)</f>
        <v>1320258.1300000008</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9465426.6600000001</v>
      </c>
      <c r="E80" s="91" t="s">
        <v>286</v>
      </c>
      <c r="F80" s="118">
        <f>IF((VHP!D28+VHP!D29)&gt;0,VHP!D28+VHP!D29,(VHP!D28+VHP!D29)*-1)</f>
        <v>9465426.6600000001</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9146066.709999999</v>
      </c>
      <c r="E81" s="91" t="s">
        <v>288</v>
      </c>
      <c r="F81" s="118">
        <f>IF(CSF!$B5&gt;0,CSF!$B5,CSF!$C5)</f>
        <v>9146066.7100000009</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18082327.370000001</v>
      </c>
      <c r="E82" s="91" t="s">
        <v>272</v>
      </c>
      <c r="F82" s="118">
        <f>IF(ESF!B5&gt;0,ESF!B5,ESF!B5*-1)</f>
        <v>18082327.370000001</v>
      </c>
      <c r="G82" s="395">
        <f t="shared" si="6"/>
        <v>0</v>
      </c>
      <c r="H82" s="90" t="s">
        <v>274</v>
      </c>
      <c r="I82" s="381">
        <f>IF(EFE!C65&gt;0,EFE!C65,EFE!C65*-1)</f>
        <v>8936260.6600000001</v>
      </c>
      <c r="J82" s="91" t="s">
        <v>272</v>
      </c>
      <c r="K82" s="381">
        <f>IF(ESF!C5&gt;0,ESF!C5,ESF!C5*-1)</f>
        <v>8936260.6600000001</v>
      </c>
      <c r="L82" s="389">
        <f t="shared" ref="L82:L99" si="7">ROUND(I82-K82,2)</f>
        <v>0</v>
      </c>
      <c r="M82" s="137" t="s">
        <v>245</v>
      </c>
    </row>
    <row r="83" spans="1:13" ht="23.25" thickBot="1" x14ac:dyDescent="0.25">
      <c r="A83" s="78" t="s">
        <v>89</v>
      </c>
      <c r="B83" s="171" t="s">
        <v>244</v>
      </c>
      <c r="C83" s="132" t="s">
        <v>274</v>
      </c>
      <c r="D83" s="370">
        <f>IF(EFE!B63&gt;0,EFE!B63,EFE!B63*-1)</f>
        <v>8936260.6600000001</v>
      </c>
      <c r="E83" s="446"/>
      <c r="F83" s="447"/>
      <c r="G83" s="447"/>
      <c r="H83" s="447"/>
      <c r="I83" s="448"/>
      <c r="J83" s="91" t="s">
        <v>272</v>
      </c>
      <c r="K83" s="409">
        <f>IF(ESF!C5&gt;0,ESF!C5,ESF!C5*-1)</f>
        <v>8936260.6600000001</v>
      </c>
      <c r="L83" s="389">
        <f>ROUND(D83-K83,2)</f>
        <v>0</v>
      </c>
      <c r="M83" s="137" t="s">
        <v>244</v>
      </c>
    </row>
    <row r="84" spans="1:13" x14ac:dyDescent="0.2">
      <c r="A84" s="76" t="s">
        <v>91</v>
      </c>
      <c r="B84" s="189" t="s">
        <v>160</v>
      </c>
      <c r="C84" s="101" t="s">
        <v>273</v>
      </c>
      <c r="D84" s="377">
        <f>IF(EAA!E5&gt;0,EAA!E5,EAA!E5*-1)</f>
        <v>18082327.36999999</v>
      </c>
      <c r="E84" s="102" t="s">
        <v>272</v>
      </c>
      <c r="F84" s="197">
        <f>IF(ESF!B5&gt;0,ESF!B5,ESF!B5*-1)</f>
        <v>18082327.370000001</v>
      </c>
      <c r="G84" s="396">
        <f t="shared" ref="G84:G99" si="8">ROUND(D84-F84,2)</f>
        <v>0</v>
      </c>
      <c r="H84" s="101" t="s">
        <v>273</v>
      </c>
      <c r="I84" s="375">
        <f>IF(EAA!B5&gt;0,EAA!B5,EAA!B5*-1)</f>
        <v>8936260.6600000001</v>
      </c>
      <c r="J84" s="102" t="s">
        <v>272</v>
      </c>
      <c r="K84" s="399">
        <f>IF(ESF!C5&gt;0,ESF!C5,ESF!C5*-1)</f>
        <v>8936260.6600000001</v>
      </c>
      <c r="L84" s="390">
        <f t="shared" si="7"/>
        <v>0</v>
      </c>
      <c r="M84" s="159" t="s">
        <v>160</v>
      </c>
    </row>
    <row r="85" spans="1:13" x14ac:dyDescent="0.2">
      <c r="A85" s="79"/>
      <c r="B85" s="168" t="s">
        <v>162</v>
      </c>
      <c r="C85" s="122" t="s">
        <v>273</v>
      </c>
      <c r="D85" s="378">
        <f>IF(EAA!E6&gt;0,EAA!E6,EAA!E6*-1)</f>
        <v>550050.1099999994</v>
      </c>
      <c r="E85" s="94" t="s">
        <v>272</v>
      </c>
      <c r="F85" s="123">
        <f>IF(ESF!B6&gt;0,ESF!B6,ESF!B6*-1)</f>
        <v>550050.11</v>
      </c>
      <c r="G85" s="397">
        <f t="shared" si="8"/>
        <v>0</v>
      </c>
      <c r="H85" s="122" t="s">
        <v>273</v>
      </c>
      <c r="I85" s="384">
        <f>IF(EAA!B6&gt;0,EAA!B6,EAA!B6*-1)</f>
        <v>540455.49</v>
      </c>
      <c r="J85" s="94" t="s">
        <v>272</v>
      </c>
      <c r="K85" s="384">
        <f>IF(ESF!C6&gt;0,ESF!C6,ESF!C6*-1)</f>
        <v>540455.49</v>
      </c>
      <c r="L85" s="391">
        <f t="shared" si="7"/>
        <v>0</v>
      </c>
      <c r="M85" s="160" t="s">
        <v>162</v>
      </c>
    </row>
    <row r="86" spans="1:13" x14ac:dyDescent="0.2">
      <c r="A86" s="79"/>
      <c r="B86" s="168" t="s">
        <v>164</v>
      </c>
      <c r="C86" s="122" t="s">
        <v>273</v>
      </c>
      <c r="D86" s="378">
        <f>IF(EAA!E7&gt;0,EAA!E7,EAA!E7*-1)</f>
        <v>20880</v>
      </c>
      <c r="E86" s="94" t="s">
        <v>272</v>
      </c>
      <c r="F86" s="123">
        <f>IF(ESF!B7&gt;0,ESF!B7,ESF!B7*-1)</f>
        <v>20880</v>
      </c>
      <c r="G86" s="397">
        <f t="shared" si="8"/>
        <v>0</v>
      </c>
      <c r="H86" s="122" t="s">
        <v>273</v>
      </c>
      <c r="I86" s="384">
        <f>IF(EAA!B7&gt;0,EAA!B7,EAA!B7*-1)</f>
        <v>20880</v>
      </c>
      <c r="J86" s="94" t="s">
        <v>272</v>
      </c>
      <c r="K86" s="384">
        <f>IF(ESF!C7&gt;0,ESF!C7,ESF!C7*-1)</f>
        <v>20880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7321.32</v>
      </c>
      <c r="E88" s="94" t="s">
        <v>272</v>
      </c>
      <c r="F88" s="123">
        <f>IF(ESF!B9&gt;0,ESF!B9,ESF!B9*-1)</f>
        <v>7321.32</v>
      </c>
      <c r="G88" s="397">
        <f t="shared" si="8"/>
        <v>0</v>
      </c>
      <c r="H88" s="122" t="s">
        <v>273</v>
      </c>
      <c r="I88" s="384">
        <f>IF(EAA!B9&gt;0,EAA!B9,EAA!B9*-1)</f>
        <v>7321.32</v>
      </c>
      <c r="J88" s="94" t="s">
        <v>272</v>
      </c>
      <c r="K88" s="384">
        <f>IF(ESF!C9&gt;0,ESF!C9,ESF!C9*-1)</f>
        <v>7321.32</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178119.1</v>
      </c>
      <c r="E93" s="94" t="s">
        <v>272</v>
      </c>
      <c r="F93" s="123">
        <f>IF(ESF!B18&gt;0,ESF!B18,ESF!B18*-1)</f>
        <v>178119.1</v>
      </c>
      <c r="G93" s="397">
        <f t="shared" si="8"/>
        <v>0</v>
      </c>
      <c r="H93" s="122" t="s">
        <v>273</v>
      </c>
      <c r="I93" s="384">
        <f>IF(EAA!B15&gt;0,EAA!B15,EAA!B15*-1)</f>
        <v>178119.1</v>
      </c>
      <c r="J93" s="94" t="s">
        <v>272</v>
      </c>
      <c r="K93" s="384">
        <f>IF(ESF!C18&gt;0,ESF!C18,ESF!C18*-1)</f>
        <v>178119.1</v>
      </c>
      <c r="L93" s="391">
        <f t="shared" si="7"/>
        <v>0</v>
      </c>
      <c r="M93" s="160" t="s">
        <v>182</v>
      </c>
    </row>
    <row r="94" spans="1:13" x14ac:dyDescent="0.2">
      <c r="A94" s="79"/>
      <c r="B94" s="168" t="s">
        <v>184</v>
      </c>
      <c r="C94" s="122" t="s">
        <v>273</v>
      </c>
      <c r="D94" s="378">
        <f>IF(EAA!E16&gt;0,EAA!E16,EAA!E16*-1)</f>
        <v>15170632.460000001</v>
      </c>
      <c r="E94" s="94" t="s">
        <v>272</v>
      </c>
      <c r="F94" s="123">
        <f>IF(ESF!B19&gt;0,ESF!B19,ESF!B19*-1)</f>
        <v>15170632.460000001</v>
      </c>
      <c r="G94" s="397">
        <f t="shared" si="8"/>
        <v>0</v>
      </c>
      <c r="H94" s="122" t="s">
        <v>273</v>
      </c>
      <c r="I94" s="384">
        <f>IF(EAA!B16&gt;0,EAA!B16,EAA!B16*-1)</f>
        <v>13850374.33</v>
      </c>
      <c r="J94" s="94" t="s">
        <v>272</v>
      </c>
      <c r="K94" s="384">
        <f>IF(ESF!C19&gt;0,ESF!C19,ESF!C19*-1)</f>
        <v>13850374.33</v>
      </c>
      <c r="L94" s="391">
        <f t="shared" si="7"/>
        <v>0</v>
      </c>
      <c r="M94" s="160" t="s">
        <v>184</v>
      </c>
    </row>
    <row r="95" spans="1:13" x14ac:dyDescent="0.2">
      <c r="A95" s="79"/>
      <c r="B95" s="168" t="s">
        <v>186</v>
      </c>
      <c r="C95" s="122" t="s">
        <v>273</v>
      </c>
      <c r="D95" s="378">
        <f>IF(EAA!E17&gt;0,EAA!E17,EAA!E17*-1)</f>
        <v>184989.22</v>
      </c>
      <c r="E95" s="94" t="s">
        <v>272</v>
      </c>
      <c r="F95" s="123">
        <f>IF(ESF!B20&gt;0,ESF!B20,ESF!B20*-1)</f>
        <v>184989.22</v>
      </c>
      <c r="G95" s="397">
        <f t="shared" si="8"/>
        <v>0</v>
      </c>
      <c r="H95" s="122" t="s">
        <v>273</v>
      </c>
      <c r="I95" s="384">
        <f>IF(EAA!B17&gt;0,EAA!B17,EAA!B17*-1)</f>
        <v>184989.22</v>
      </c>
      <c r="J95" s="94" t="s">
        <v>272</v>
      </c>
      <c r="K95" s="384">
        <f>IF(ESF!C20&gt;0,ESF!C20,ESF!C20*-1)</f>
        <v>184989.22</v>
      </c>
      <c r="L95" s="391">
        <f t="shared" si="7"/>
        <v>0</v>
      </c>
      <c r="M95" s="160" t="s">
        <v>186</v>
      </c>
    </row>
    <row r="96" spans="1:13" ht="22.5" x14ac:dyDescent="0.2">
      <c r="A96" s="79"/>
      <c r="B96" s="168" t="s">
        <v>188</v>
      </c>
      <c r="C96" s="122" t="s">
        <v>273</v>
      </c>
      <c r="D96" s="378">
        <f>IF(EAA!E18&gt;0,EAA!E18,EAA!E18*-1)</f>
        <v>8188170.4000000004</v>
      </c>
      <c r="E96" s="94" t="s">
        <v>272</v>
      </c>
      <c r="F96" s="123">
        <f>IF(ESF!B21&gt;0,ESF!B21,ESF!B21*-1)</f>
        <v>8188170.4000000004</v>
      </c>
      <c r="G96" s="397">
        <f t="shared" si="8"/>
        <v>0</v>
      </c>
      <c r="H96" s="122" t="s">
        <v>273</v>
      </c>
      <c r="I96" s="384">
        <f>IF(EAA!B18&gt;0,EAA!B18,EAA!B18*-1)</f>
        <v>8188170.4000000004</v>
      </c>
      <c r="J96" s="94" t="s">
        <v>272</v>
      </c>
      <c r="K96" s="384">
        <f>IF(ESF!C21&gt;0,ESF!C21,ESF!C21*-1)</f>
        <v>8188170.4000000004</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9146066.7099999897</v>
      </c>
      <c r="E100" s="131" t="s">
        <v>288</v>
      </c>
      <c r="F100" s="133">
        <f>IF(CSF!$B5&gt;0,CSF!$B5,CSF!$C5)</f>
        <v>9146066.7100000009</v>
      </c>
      <c r="G100" s="408">
        <f>ROUND(D100-F100,2)</f>
        <v>0</v>
      </c>
      <c r="H100" s="437"/>
      <c r="I100" s="438"/>
      <c r="J100" s="438"/>
      <c r="K100" s="134"/>
      <c r="L100" s="135"/>
      <c r="M100" s="162" t="s">
        <v>160</v>
      </c>
    </row>
    <row r="101" spans="1:13" x14ac:dyDescent="0.2">
      <c r="A101" s="67"/>
      <c r="B101" s="169" t="s">
        <v>162</v>
      </c>
      <c r="C101" s="122" t="s">
        <v>273</v>
      </c>
      <c r="D101" s="401">
        <f>IF(EAA!F6&gt;0,EAA!F6,EAA!F6*-1)</f>
        <v>9594.6199999994133</v>
      </c>
      <c r="E101" s="94" t="s">
        <v>288</v>
      </c>
      <c r="F101" s="123">
        <f>IF(CSF!$B6&gt;0,CSF!$B6,CSF!$C6)</f>
        <v>9594.6200000000008</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1320258.1300000008</v>
      </c>
      <c r="E110" s="94" t="s">
        <v>288</v>
      </c>
      <c r="F110" s="123">
        <f>IF(CSF!$B17&gt;0,CSF!$B17,CSF!$C17)</f>
        <v>1320258.1299999999</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478877.99</v>
      </c>
      <c r="E116" s="91" t="s">
        <v>272</v>
      </c>
      <c r="F116" s="370">
        <f>IF(ESF!E26&gt;0,ESF!E26,ESF!E26*-1)</f>
        <v>478877.99</v>
      </c>
      <c r="G116" s="395">
        <f>ROUND(D116-F116,2)</f>
        <v>0</v>
      </c>
      <c r="H116" s="90" t="s">
        <v>287</v>
      </c>
      <c r="I116" s="381">
        <f>IF(ADP!D34&gt;0,ADP!D34,ADP!D34*-1)</f>
        <v>2683782.1800000002</v>
      </c>
      <c r="J116" s="91" t="s">
        <v>272</v>
      </c>
      <c r="K116" s="381">
        <f>IF(ESF!F26&gt;0,ESF!F26,ESF!F26*-1)</f>
        <v>2683782.1800000002</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5" customHeight="1" x14ac:dyDescent="0.2">
      <c r="A5" s="355" t="s">
        <v>645</v>
      </c>
      <c r="B5" s="356"/>
      <c r="C5" s="357">
        <f>C6+C7</f>
        <v>82536445.209999993</v>
      </c>
      <c r="D5" s="357">
        <f>D6+D7</f>
        <v>59827145.219999999</v>
      </c>
      <c r="E5" s="357">
        <f>E6+E7</f>
        <v>59827145.219999999</v>
      </c>
    </row>
    <row r="6" spans="1:5" ht="12.95" customHeight="1" x14ac:dyDescent="0.2">
      <c r="A6" s="358"/>
      <c r="B6" s="359" t="s">
        <v>646</v>
      </c>
      <c r="C6" s="360"/>
      <c r="D6" s="360"/>
      <c r="E6" s="360"/>
    </row>
    <row r="7" spans="1:5" ht="12.95" customHeight="1" x14ac:dyDescent="0.2">
      <c r="A7" s="358"/>
      <c r="B7" s="359" t="s">
        <v>647</v>
      </c>
      <c r="C7" s="360">
        <v>82536445.209999993</v>
      </c>
      <c r="D7" s="360">
        <v>59827145.219999999</v>
      </c>
      <c r="E7" s="360">
        <v>59827145.219999999</v>
      </c>
    </row>
    <row r="8" spans="1:5" x14ac:dyDescent="0.2">
      <c r="A8" s="358"/>
      <c r="B8" s="361"/>
      <c r="C8" s="360"/>
      <c r="D8" s="360"/>
      <c r="E8" s="360"/>
    </row>
    <row r="9" spans="1:5" ht="12.95" customHeight="1" x14ac:dyDescent="0.2">
      <c r="A9" s="355" t="s">
        <v>648</v>
      </c>
      <c r="B9" s="356"/>
      <c r="C9" s="357">
        <f>C10+C11</f>
        <v>82536445.209999993</v>
      </c>
      <c r="D9" s="357">
        <f>D10+D11</f>
        <v>48420209.700000003</v>
      </c>
      <c r="E9" s="357">
        <f>E10+E11</f>
        <v>48420209.700000003</v>
      </c>
    </row>
    <row r="10" spans="1:5" ht="12.95" customHeight="1" x14ac:dyDescent="0.2">
      <c r="A10" s="358"/>
      <c r="B10" s="359" t="s">
        <v>649</v>
      </c>
      <c r="C10" s="360"/>
      <c r="D10" s="360"/>
      <c r="E10" s="360"/>
    </row>
    <row r="11" spans="1:5" ht="12.95" customHeight="1" x14ac:dyDescent="0.2">
      <c r="A11" s="358"/>
      <c r="B11" s="359" t="s">
        <v>650</v>
      </c>
      <c r="C11" s="360">
        <v>82536445.209999993</v>
      </c>
      <c r="D11" s="360">
        <v>48420209.700000003</v>
      </c>
      <c r="E11" s="360">
        <v>48420209.700000003</v>
      </c>
    </row>
    <row r="12" spans="1:5" x14ac:dyDescent="0.2">
      <c r="A12" s="358"/>
      <c r="B12" s="361"/>
      <c r="C12" s="360"/>
      <c r="D12" s="360"/>
      <c r="E12" s="360"/>
    </row>
    <row r="13" spans="1:5" ht="12.95" customHeight="1" x14ac:dyDescent="0.2">
      <c r="A13" s="355" t="s">
        <v>651</v>
      </c>
      <c r="B13" s="356"/>
      <c r="C13" s="357">
        <f>C5-C9</f>
        <v>0</v>
      </c>
      <c r="D13" s="357">
        <f>D5-D9</f>
        <v>11406935.519999996</v>
      </c>
      <c r="E13" s="357">
        <f>E5-E9</f>
        <v>11406935.519999996</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5" customHeight="1" x14ac:dyDescent="0.2">
      <c r="A17" s="355" t="s">
        <v>652</v>
      </c>
      <c r="B17" s="356"/>
      <c r="C17" s="357">
        <f>C13</f>
        <v>0</v>
      </c>
      <c r="D17" s="357">
        <f>D13</f>
        <v>11406935.519999996</v>
      </c>
      <c r="E17" s="357">
        <f>E13</f>
        <v>11406935.519999996</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11406935.519999996</v>
      </c>
      <c r="E21" s="357">
        <f>E17+E19</f>
        <v>11406935.519999996</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3</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82536445.210000008</v>
      </c>
      <c r="F7" s="207" t="s">
        <v>328</v>
      </c>
      <c r="G7" s="207" t="s">
        <v>329</v>
      </c>
      <c r="H7" s="208">
        <f>+Memoria!C41</f>
        <v>82536445.209999993</v>
      </c>
      <c r="I7" s="209">
        <f>ROUND(E7-H7,2)</f>
        <v>0</v>
      </c>
    </row>
    <row r="8" spans="1:12" ht="22.5" x14ac:dyDescent="0.2">
      <c r="A8" s="210" t="s">
        <v>293</v>
      </c>
      <c r="B8" s="5" t="s">
        <v>330</v>
      </c>
      <c r="C8" s="211" t="s">
        <v>326</v>
      </c>
      <c r="D8" s="211" t="s">
        <v>331</v>
      </c>
      <c r="E8" s="212">
        <f>+EAI!C15</f>
        <v>100000</v>
      </c>
      <c r="F8" s="211" t="s">
        <v>328</v>
      </c>
      <c r="G8" s="211" t="s">
        <v>332</v>
      </c>
      <c r="H8" s="212">
        <f>+Memoria!C43</f>
        <v>100000</v>
      </c>
      <c r="I8" s="213">
        <f>ROUND(E8-H8,2)</f>
        <v>0</v>
      </c>
    </row>
    <row r="9" spans="1:12" x14ac:dyDescent="0.2">
      <c r="A9" s="210" t="s">
        <v>295</v>
      </c>
      <c r="B9" s="5" t="s">
        <v>333</v>
      </c>
      <c r="C9" s="211" t="s">
        <v>326</v>
      </c>
      <c r="D9" s="211" t="s">
        <v>334</v>
      </c>
      <c r="E9" s="212">
        <f>+EAI!E15</f>
        <v>59827145.219999999</v>
      </c>
      <c r="F9" s="211" t="s">
        <v>328</v>
      </c>
      <c r="G9" s="211" t="s">
        <v>335</v>
      </c>
      <c r="H9" s="212">
        <f>+Memoria!C44+Memoria!C45</f>
        <v>-59827145.219999999</v>
      </c>
      <c r="I9" s="213">
        <f>ROUND(E9+H9,2)</f>
        <v>0</v>
      </c>
    </row>
    <row r="10" spans="1:12" ht="12" thickBot="1" x14ac:dyDescent="0.25">
      <c r="A10" s="210" t="s">
        <v>297</v>
      </c>
      <c r="B10" s="5" t="s">
        <v>336</v>
      </c>
      <c r="C10" s="211" t="s">
        <v>326</v>
      </c>
      <c r="D10" s="211" t="s">
        <v>337</v>
      </c>
      <c r="E10" s="212">
        <f>+EAI!F15</f>
        <v>59827145.219999999</v>
      </c>
      <c r="F10" s="211" t="s">
        <v>328</v>
      </c>
      <c r="G10" s="211" t="s">
        <v>338</v>
      </c>
      <c r="H10" s="212">
        <f>+Memoria!C45</f>
        <v>-59827145.219999999</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82536445.209999993</v>
      </c>
      <c r="F12" s="211" t="s">
        <v>328</v>
      </c>
      <c r="G12" s="211" t="s">
        <v>342</v>
      </c>
      <c r="H12" s="212">
        <f>+Memoria!C50</f>
        <v>-82536445.209999993</v>
      </c>
      <c r="I12" s="213">
        <f>+ROUND(E12+H12,2)</f>
        <v>0</v>
      </c>
      <c r="L12" s="465"/>
    </row>
    <row r="13" spans="1:12" ht="22.5" x14ac:dyDescent="0.2">
      <c r="A13" s="210" t="s">
        <v>302</v>
      </c>
      <c r="B13" s="5" t="s">
        <v>343</v>
      </c>
      <c r="C13" s="211" t="s">
        <v>340</v>
      </c>
      <c r="D13" s="211" t="s">
        <v>331</v>
      </c>
      <c r="E13" s="212">
        <f>+CA!C13</f>
        <v>6187125.3399999999</v>
      </c>
      <c r="F13" s="211" t="s">
        <v>328</v>
      </c>
      <c r="G13" s="211" t="s">
        <v>344</v>
      </c>
      <c r="H13" s="212">
        <f>+Memoria!C52</f>
        <v>-6187125.3399999999</v>
      </c>
      <c r="I13" s="213">
        <f>+ROUND(E13+H13,2)</f>
        <v>0</v>
      </c>
    </row>
    <row r="14" spans="1:12" x14ac:dyDescent="0.2">
      <c r="A14" s="210" t="s">
        <v>304</v>
      </c>
      <c r="B14" s="5" t="s">
        <v>345</v>
      </c>
      <c r="C14" s="211" t="s">
        <v>340</v>
      </c>
      <c r="D14" s="211" t="s">
        <v>334</v>
      </c>
      <c r="E14" s="212">
        <f>+CA!E13</f>
        <v>48420209.700000003</v>
      </c>
      <c r="F14" s="211" t="s">
        <v>328</v>
      </c>
      <c r="G14" s="211" t="s">
        <v>660</v>
      </c>
      <c r="H14" s="212">
        <f>+Memoria!C54+Memoria!C55+Memoria!C56</f>
        <v>48420209.700000003</v>
      </c>
      <c r="I14" s="213">
        <f>ROUND(E14-H14,2)</f>
        <v>0</v>
      </c>
    </row>
    <row r="15" spans="1:12" x14ac:dyDescent="0.2">
      <c r="A15" s="210" t="s">
        <v>306</v>
      </c>
      <c r="B15" s="5" t="s">
        <v>346</v>
      </c>
      <c r="C15" s="211" t="s">
        <v>340</v>
      </c>
      <c r="D15" s="211" t="s">
        <v>347</v>
      </c>
      <c r="E15" s="212">
        <f>+CA!F13</f>
        <v>48420209.700000003</v>
      </c>
      <c r="F15" s="211" t="s">
        <v>328</v>
      </c>
      <c r="G15" s="211">
        <v>8.25</v>
      </c>
      <c r="H15" s="212">
        <f>+Memoria!C56</f>
        <v>48420209.700000003</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82536445.209999993</v>
      </c>
      <c r="F17" s="211" t="s">
        <v>328</v>
      </c>
      <c r="G17" s="211" t="s">
        <v>342</v>
      </c>
      <c r="H17" s="212">
        <f>+Memoria!C50</f>
        <v>-82536445.209999993</v>
      </c>
      <c r="I17" s="213">
        <f>+ROUND(E17+H17,2)</f>
        <v>0</v>
      </c>
    </row>
    <row r="18" spans="1:9" ht="22.5" x14ac:dyDescent="0.2">
      <c r="A18" s="210" t="s">
        <v>302</v>
      </c>
      <c r="B18" s="5" t="s">
        <v>350</v>
      </c>
      <c r="C18" s="211" t="s">
        <v>349</v>
      </c>
      <c r="D18" s="211" t="s">
        <v>331</v>
      </c>
      <c r="E18" s="212">
        <f>+CTG!C15</f>
        <v>6187125.3399999999</v>
      </c>
      <c r="F18" s="211" t="s">
        <v>328</v>
      </c>
      <c r="G18" s="211" t="s">
        <v>344</v>
      </c>
      <c r="H18" s="212">
        <f>+Memoria!C52</f>
        <v>-6187125.3399999999</v>
      </c>
      <c r="I18" s="213">
        <f>+ROUND(E18+H18,2)</f>
        <v>0</v>
      </c>
    </row>
    <row r="19" spans="1:9" x14ac:dyDescent="0.2">
      <c r="A19" s="210" t="s">
        <v>304</v>
      </c>
      <c r="B19" s="5" t="s">
        <v>351</v>
      </c>
      <c r="C19" s="211" t="s">
        <v>349</v>
      </c>
      <c r="D19" s="211" t="s">
        <v>334</v>
      </c>
      <c r="E19" s="212">
        <f>+CTG!E15</f>
        <v>48420209.700000003</v>
      </c>
      <c r="F19" s="211" t="s">
        <v>328</v>
      </c>
      <c r="G19" s="211" t="s">
        <v>660</v>
      </c>
      <c r="H19" s="212">
        <f>+Memoria!C54+Memoria!C55+Memoria!C56</f>
        <v>48420209.700000003</v>
      </c>
      <c r="I19" s="213">
        <f>+ROUND(E19-H19,2)</f>
        <v>0</v>
      </c>
    </row>
    <row r="20" spans="1:9" x14ac:dyDescent="0.2">
      <c r="A20" s="210" t="s">
        <v>306</v>
      </c>
      <c r="B20" s="5" t="s">
        <v>352</v>
      </c>
      <c r="C20" s="211" t="s">
        <v>349</v>
      </c>
      <c r="D20" s="211" t="s">
        <v>347</v>
      </c>
      <c r="E20" s="212">
        <f>+CTG!F15</f>
        <v>48420209.700000003</v>
      </c>
      <c r="F20" s="211" t="s">
        <v>328</v>
      </c>
      <c r="G20" s="211">
        <v>8.25</v>
      </c>
      <c r="H20" s="212">
        <f>+Memoria!C56</f>
        <v>48420209.700000003</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82536445.210000008</v>
      </c>
      <c r="F22" s="211" t="s">
        <v>328</v>
      </c>
      <c r="G22" s="211" t="s">
        <v>342</v>
      </c>
      <c r="H22" s="212">
        <f>+Memoria!C50</f>
        <v>-82536445.209999993</v>
      </c>
      <c r="I22" s="213">
        <f>+ROUND(E22+H22,2)</f>
        <v>0</v>
      </c>
    </row>
    <row r="23" spans="1:9" ht="22.5" x14ac:dyDescent="0.2">
      <c r="A23" s="210" t="s">
        <v>302</v>
      </c>
      <c r="B23" s="5" t="s">
        <v>355</v>
      </c>
      <c r="C23" s="211" t="s">
        <v>354</v>
      </c>
      <c r="D23" s="211" t="s">
        <v>331</v>
      </c>
      <c r="E23" s="212">
        <f>+COG!C76</f>
        <v>6187125.3399999999</v>
      </c>
      <c r="F23" s="211" t="s">
        <v>328</v>
      </c>
      <c r="G23" s="211" t="s">
        <v>344</v>
      </c>
      <c r="H23" s="212">
        <f>+Memoria!C52</f>
        <v>-6187125.3399999999</v>
      </c>
      <c r="I23" s="213">
        <f>+ROUND(E23+H23,2)</f>
        <v>0</v>
      </c>
    </row>
    <row r="24" spans="1:9" x14ac:dyDescent="0.2">
      <c r="A24" s="210" t="s">
        <v>304</v>
      </c>
      <c r="B24" s="5" t="s">
        <v>356</v>
      </c>
      <c r="C24" s="211" t="s">
        <v>354</v>
      </c>
      <c r="D24" s="211" t="s">
        <v>334</v>
      </c>
      <c r="E24" s="212">
        <f>+COG!E76</f>
        <v>48420209.70000001</v>
      </c>
      <c r="F24" s="211" t="s">
        <v>328</v>
      </c>
      <c r="G24" s="211" t="s">
        <v>660</v>
      </c>
      <c r="H24" s="212">
        <f>+Memoria!C54+Memoria!C55+Memoria!C56</f>
        <v>48420209.700000003</v>
      </c>
      <c r="I24" s="213">
        <f>+ROUND(E24-H24,2)</f>
        <v>0</v>
      </c>
    </row>
    <row r="25" spans="1:9" x14ac:dyDescent="0.2">
      <c r="A25" s="210" t="s">
        <v>306</v>
      </c>
      <c r="B25" s="5" t="s">
        <v>357</v>
      </c>
      <c r="C25" s="211" t="s">
        <v>354</v>
      </c>
      <c r="D25" s="211" t="s">
        <v>347</v>
      </c>
      <c r="E25" s="212">
        <f>+COG!F76</f>
        <v>48420209.70000001</v>
      </c>
      <c r="F25" s="211" t="s">
        <v>328</v>
      </c>
      <c r="G25" s="211">
        <v>8.25</v>
      </c>
      <c r="H25" s="212">
        <f>+Memoria!C56</f>
        <v>48420209.700000003</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82536445.209999993</v>
      </c>
      <c r="F27" s="211" t="s">
        <v>328</v>
      </c>
      <c r="G27" s="211" t="s">
        <v>342</v>
      </c>
      <c r="H27" s="212">
        <f>+Memoria!C50</f>
        <v>-82536445.209999993</v>
      </c>
      <c r="I27" s="213">
        <f>+ROUND(E27+H27,2)</f>
        <v>0</v>
      </c>
    </row>
    <row r="28" spans="1:9" ht="22.5" x14ac:dyDescent="0.2">
      <c r="A28" s="210" t="s">
        <v>302</v>
      </c>
      <c r="B28" s="5" t="s">
        <v>360</v>
      </c>
      <c r="C28" s="211" t="s">
        <v>359</v>
      </c>
      <c r="D28" s="211" t="s">
        <v>331</v>
      </c>
      <c r="E28" s="212">
        <f>+CFG!C41</f>
        <v>6187125.3399999999</v>
      </c>
      <c r="F28" s="211" t="s">
        <v>328</v>
      </c>
      <c r="G28" s="211" t="s">
        <v>344</v>
      </c>
      <c r="H28" s="212">
        <f>+Memoria!C52</f>
        <v>-6187125.3399999999</v>
      </c>
      <c r="I28" s="213">
        <f>+ROUND(E28+H28,2)</f>
        <v>0</v>
      </c>
    </row>
    <row r="29" spans="1:9" x14ac:dyDescent="0.2">
      <c r="A29" s="210" t="s">
        <v>304</v>
      </c>
      <c r="B29" s="5" t="s">
        <v>361</v>
      </c>
      <c r="C29" s="211" t="s">
        <v>359</v>
      </c>
      <c r="D29" s="211" t="s">
        <v>334</v>
      </c>
      <c r="E29" s="212">
        <f>+CFG!E41</f>
        <v>48420209.700000003</v>
      </c>
      <c r="F29" s="211" t="s">
        <v>328</v>
      </c>
      <c r="G29" s="211" t="s">
        <v>660</v>
      </c>
      <c r="H29" s="212">
        <f>+Memoria!C54+Memoria!C55+Memoria!C56</f>
        <v>48420209.700000003</v>
      </c>
      <c r="I29" s="213">
        <f>+ROUND(E29-H29,2)</f>
        <v>0</v>
      </c>
    </row>
    <row r="30" spans="1:9" x14ac:dyDescent="0.2">
      <c r="A30" s="210" t="s">
        <v>306</v>
      </c>
      <c r="B30" s="5" t="s">
        <v>362</v>
      </c>
      <c r="C30" s="211" t="s">
        <v>359</v>
      </c>
      <c r="D30" s="211" t="s">
        <v>347</v>
      </c>
      <c r="E30" s="212">
        <f>+CFG!F41</f>
        <v>48420209.700000003</v>
      </c>
      <c r="F30" s="211" t="s">
        <v>328</v>
      </c>
      <c r="G30" s="211">
        <v>8.25</v>
      </c>
      <c r="H30" s="212">
        <f>+Memoria!C56</f>
        <v>48420209.700000003</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82536445.209999993</v>
      </c>
      <c r="F39" s="211" t="s">
        <v>328</v>
      </c>
      <c r="G39" s="211" t="s">
        <v>342</v>
      </c>
      <c r="H39" s="212">
        <f>+Memoria!C50</f>
        <v>-82536445.209999993</v>
      </c>
      <c r="I39" s="213">
        <f>+ROUND(E39+H39,2)</f>
        <v>0</v>
      </c>
    </row>
    <row r="40" spans="1:9" ht="22.5" x14ac:dyDescent="0.2">
      <c r="A40" s="210" t="s">
        <v>315</v>
      </c>
      <c r="B40" s="65" t="s">
        <v>380</v>
      </c>
      <c r="C40" s="211" t="s">
        <v>379</v>
      </c>
      <c r="D40" s="211" t="s">
        <v>331</v>
      </c>
      <c r="E40" s="212">
        <f>+GCP!C36</f>
        <v>6187125.3399999999</v>
      </c>
      <c r="F40" s="211" t="s">
        <v>328</v>
      </c>
      <c r="G40" s="211" t="s">
        <v>344</v>
      </c>
      <c r="H40" s="212">
        <f>+Memoria!C52</f>
        <v>-6187125.3399999999</v>
      </c>
      <c r="I40" s="213">
        <f>+ROUND(E40+H40,2)</f>
        <v>0</v>
      </c>
    </row>
    <row r="41" spans="1:9" x14ac:dyDescent="0.2">
      <c r="A41" s="210" t="s">
        <v>316</v>
      </c>
      <c r="B41" s="65" t="s">
        <v>381</v>
      </c>
      <c r="C41" s="211" t="s">
        <v>379</v>
      </c>
      <c r="D41" s="211" t="s">
        <v>334</v>
      </c>
      <c r="E41" s="212">
        <f>+GCP!E36</f>
        <v>48420209.700000003</v>
      </c>
      <c r="F41" s="211" t="s">
        <v>328</v>
      </c>
      <c r="G41" s="211" t="s">
        <v>660</v>
      </c>
      <c r="H41" s="212">
        <f>+Memoria!C54+Memoria!C55+Memoria!C56</f>
        <v>48420209.700000003</v>
      </c>
      <c r="I41" s="213">
        <f t="shared" ref="I41:I42" si="0">ROUND(E41-H41,2)</f>
        <v>0</v>
      </c>
    </row>
    <row r="42" spans="1:9" x14ac:dyDescent="0.2">
      <c r="A42" s="210" t="s">
        <v>317</v>
      </c>
      <c r="B42" s="65" t="s">
        <v>382</v>
      </c>
      <c r="C42" s="211" t="s">
        <v>379</v>
      </c>
      <c r="D42" s="211" t="s">
        <v>347</v>
      </c>
      <c r="E42" s="212">
        <f>+GCP!F36</f>
        <v>48420209.700000003</v>
      </c>
      <c r="F42" s="211" t="s">
        <v>328</v>
      </c>
      <c r="G42" s="211">
        <v>8.25</v>
      </c>
      <c r="H42" s="212">
        <f>+Memoria!C56</f>
        <v>48420209.700000003</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82536445.209999993</v>
      </c>
      <c r="F44" s="211" t="s">
        <v>340</v>
      </c>
      <c r="G44" s="211" t="s">
        <v>341</v>
      </c>
      <c r="H44" s="212">
        <f>+CA!B13</f>
        <v>82536445.209999993</v>
      </c>
      <c r="I44" s="213">
        <f>+ROUND(E44-H44,2)</f>
        <v>0</v>
      </c>
    </row>
    <row r="45" spans="1:9" ht="22.5" x14ac:dyDescent="0.2">
      <c r="A45" s="210" t="s">
        <v>315</v>
      </c>
      <c r="B45" s="65" t="s">
        <v>384</v>
      </c>
      <c r="C45" s="211" t="s">
        <v>379</v>
      </c>
      <c r="D45" s="211" t="s">
        <v>331</v>
      </c>
      <c r="E45" s="212">
        <f>+GCP!C36</f>
        <v>6187125.3399999999</v>
      </c>
      <c r="F45" s="211" t="s">
        <v>340</v>
      </c>
      <c r="G45" s="211" t="s">
        <v>331</v>
      </c>
      <c r="H45" s="212">
        <f>+CA!C13</f>
        <v>6187125.3399999999</v>
      </c>
      <c r="I45" s="213">
        <f>+ROUND(E45-H45,2)</f>
        <v>0</v>
      </c>
    </row>
    <row r="46" spans="1:9" x14ac:dyDescent="0.2">
      <c r="A46" s="210" t="s">
        <v>316</v>
      </c>
      <c r="B46" s="65" t="s">
        <v>385</v>
      </c>
      <c r="C46" s="211" t="s">
        <v>379</v>
      </c>
      <c r="D46" s="211" t="s">
        <v>334</v>
      </c>
      <c r="E46" s="212">
        <f>+GCP!E36</f>
        <v>48420209.700000003</v>
      </c>
      <c r="F46" s="211" t="s">
        <v>340</v>
      </c>
      <c r="G46" s="211" t="s">
        <v>334</v>
      </c>
      <c r="H46" s="212">
        <f>+CA!E13</f>
        <v>48420209.700000003</v>
      </c>
      <c r="I46" s="213">
        <f>ROUND(E46-H46,2)</f>
        <v>0</v>
      </c>
    </row>
    <row r="47" spans="1:9" x14ac:dyDescent="0.2">
      <c r="A47" s="210" t="s">
        <v>317</v>
      </c>
      <c r="B47" s="65" t="s">
        <v>386</v>
      </c>
      <c r="C47" s="211" t="s">
        <v>379</v>
      </c>
      <c r="D47" s="211" t="s">
        <v>347</v>
      </c>
      <c r="E47" s="212">
        <f>+GCP!F36</f>
        <v>48420209.700000003</v>
      </c>
      <c r="F47" s="211" t="s">
        <v>340</v>
      </c>
      <c r="G47" s="211" t="s">
        <v>347</v>
      </c>
      <c r="H47" s="212">
        <f>+CA!F13</f>
        <v>48420209.700000003</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82536445.209999993</v>
      </c>
      <c r="F49" s="211" t="s">
        <v>349</v>
      </c>
      <c r="G49" s="211" t="s">
        <v>341</v>
      </c>
      <c r="H49" s="212">
        <f>+CTG!B15</f>
        <v>82536445.209999993</v>
      </c>
      <c r="I49" s="213">
        <f>+ROUND(E49-H49,2)</f>
        <v>0</v>
      </c>
    </row>
    <row r="50" spans="1:9" ht="22.5" x14ac:dyDescent="0.2">
      <c r="A50" s="210" t="s">
        <v>315</v>
      </c>
      <c r="B50" s="65" t="s">
        <v>388</v>
      </c>
      <c r="C50" s="211" t="s">
        <v>379</v>
      </c>
      <c r="D50" s="211" t="s">
        <v>331</v>
      </c>
      <c r="E50" s="212">
        <f>+GCP!C36</f>
        <v>6187125.3399999999</v>
      </c>
      <c r="F50" s="211" t="s">
        <v>349</v>
      </c>
      <c r="G50" s="211" t="s">
        <v>331</v>
      </c>
      <c r="H50" s="212">
        <f>+CTG!C15</f>
        <v>6187125.3399999999</v>
      </c>
      <c r="I50" s="213">
        <f>+ROUND(E50-H50,2)</f>
        <v>0</v>
      </c>
    </row>
    <row r="51" spans="1:9" x14ac:dyDescent="0.2">
      <c r="A51" s="210" t="s">
        <v>316</v>
      </c>
      <c r="B51" s="65" t="s">
        <v>389</v>
      </c>
      <c r="C51" s="211" t="s">
        <v>379</v>
      </c>
      <c r="D51" s="211" t="s">
        <v>334</v>
      </c>
      <c r="E51" s="212">
        <f>+GCP!E36</f>
        <v>48420209.700000003</v>
      </c>
      <c r="F51" s="211" t="s">
        <v>349</v>
      </c>
      <c r="G51" s="211" t="s">
        <v>334</v>
      </c>
      <c r="H51" s="212">
        <f>+CTG!E15</f>
        <v>48420209.700000003</v>
      </c>
      <c r="I51" s="213">
        <f>ROUND(E51-H51,2)</f>
        <v>0</v>
      </c>
    </row>
    <row r="52" spans="1:9" x14ac:dyDescent="0.2">
      <c r="A52" s="210" t="s">
        <v>317</v>
      </c>
      <c r="B52" s="65" t="s">
        <v>390</v>
      </c>
      <c r="C52" s="211" t="s">
        <v>379</v>
      </c>
      <c r="D52" s="211" t="s">
        <v>347</v>
      </c>
      <c r="E52" s="212">
        <f>+GCP!F36</f>
        <v>48420209.700000003</v>
      </c>
      <c r="F52" s="211" t="s">
        <v>349</v>
      </c>
      <c r="G52" s="211" t="s">
        <v>347</v>
      </c>
      <c r="H52" s="212">
        <f>+CTG!F15</f>
        <v>48420209.700000003</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82536445.209999993</v>
      </c>
      <c r="F54" s="211" t="s">
        <v>354</v>
      </c>
      <c r="G54" s="211" t="s">
        <v>341</v>
      </c>
      <c r="H54" s="212">
        <f>+COG!B76</f>
        <v>82536445.210000008</v>
      </c>
      <c r="I54" s="213">
        <f>+ROUND(E54-H54,2)</f>
        <v>0</v>
      </c>
    </row>
    <row r="55" spans="1:9" ht="22.5" x14ac:dyDescent="0.2">
      <c r="A55" s="210" t="s">
        <v>315</v>
      </c>
      <c r="B55" s="65" t="s">
        <v>392</v>
      </c>
      <c r="C55" s="211" t="s">
        <v>379</v>
      </c>
      <c r="D55" s="211" t="s">
        <v>331</v>
      </c>
      <c r="E55" s="212">
        <f>+GCP!C36</f>
        <v>6187125.3399999999</v>
      </c>
      <c r="F55" s="211" t="s">
        <v>354</v>
      </c>
      <c r="G55" s="211" t="s">
        <v>331</v>
      </c>
      <c r="H55" s="212">
        <f>+COG!C76</f>
        <v>6187125.3399999999</v>
      </c>
      <c r="I55" s="213">
        <f>+ROUND(E55-H55,2)</f>
        <v>0</v>
      </c>
    </row>
    <row r="56" spans="1:9" x14ac:dyDescent="0.2">
      <c r="A56" s="210" t="s">
        <v>316</v>
      </c>
      <c r="B56" s="65" t="s">
        <v>393</v>
      </c>
      <c r="C56" s="211" t="s">
        <v>379</v>
      </c>
      <c r="D56" s="211" t="s">
        <v>334</v>
      </c>
      <c r="E56" s="212">
        <f>+GCP!E36</f>
        <v>48420209.700000003</v>
      </c>
      <c r="F56" s="211" t="s">
        <v>354</v>
      </c>
      <c r="G56" s="211" t="s">
        <v>334</v>
      </c>
      <c r="H56" s="212">
        <f>+CTG!E15</f>
        <v>48420209.700000003</v>
      </c>
      <c r="I56" s="213">
        <f>ROUND(E56-H56,2)</f>
        <v>0</v>
      </c>
    </row>
    <row r="57" spans="1:9" x14ac:dyDescent="0.2">
      <c r="A57" s="210" t="s">
        <v>317</v>
      </c>
      <c r="B57" s="65" t="s">
        <v>394</v>
      </c>
      <c r="C57" s="211" t="s">
        <v>379</v>
      </c>
      <c r="D57" s="211" t="s">
        <v>347</v>
      </c>
      <c r="E57" s="212">
        <f>+GCP!F36</f>
        <v>48420209.700000003</v>
      </c>
      <c r="F57" s="211" t="s">
        <v>354</v>
      </c>
      <c r="G57" s="211" t="s">
        <v>347</v>
      </c>
      <c r="H57" s="212">
        <f>+COG!F76</f>
        <v>48420209.70000001</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82536445.209999993</v>
      </c>
      <c r="F59" s="211" t="s">
        <v>359</v>
      </c>
      <c r="G59" s="211" t="s">
        <v>341</v>
      </c>
      <c r="H59" s="212">
        <f>+CFG!B41</f>
        <v>82536445.209999993</v>
      </c>
      <c r="I59" s="213">
        <f>+ROUND(E59-H59,2)</f>
        <v>0</v>
      </c>
    </row>
    <row r="60" spans="1:9" ht="22.5" x14ac:dyDescent="0.2">
      <c r="A60" s="210" t="s">
        <v>315</v>
      </c>
      <c r="B60" s="65" t="s">
        <v>396</v>
      </c>
      <c r="C60" s="211" t="s">
        <v>379</v>
      </c>
      <c r="D60" s="211" t="s">
        <v>331</v>
      </c>
      <c r="E60" s="212">
        <f>+GCP!C36</f>
        <v>6187125.3399999999</v>
      </c>
      <c r="F60" s="211" t="s">
        <v>359</v>
      </c>
      <c r="G60" s="211" t="s">
        <v>331</v>
      </c>
      <c r="H60" s="212">
        <f>+CFG!C41</f>
        <v>6187125.3399999999</v>
      </c>
      <c r="I60" s="213">
        <f>+ROUND(E60-H60,2)</f>
        <v>0</v>
      </c>
    </row>
    <row r="61" spans="1:9" x14ac:dyDescent="0.2">
      <c r="A61" s="210" t="s">
        <v>316</v>
      </c>
      <c r="B61" s="65" t="s">
        <v>397</v>
      </c>
      <c r="C61" s="211" t="s">
        <v>379</v>
      </c>
      <c r="D61" s="211" t="s">
        <v>334</v>
      </c>
      <c r="E61" s="212">
        <f>+GCP!E36</f>
        <v>48420209.700000003</v>
      </c>
      <c r="F61" s="211" t="s">
        <v>359</v>
      </c>
      <c r="G61" s="211" t="s">
        <v>334</v>
      </c>
      <c r="H61" s="212">
        <f>+CFG!E41</f>
        <v>48420209.700000003</v>
      </c>
      <c r="I61" s="213">
        <f>ROUND(E61-H61,2)</f>
        <v>0</v>
      </c>
    </row>
    <row r="62" spans="1:9" x14ac:dyDescent="0.2">
      <c r="A62" s="214" t="s">
        <v>317</v>
      </c>
      <c r="B62" s="215" t="s">
        <v>398</v>
      </c>
      <c r="C62" s="216" t="s">
        <v>379</v>
      </c>
      <c r="D62" s="216" t="s">
        <v>347</v>
      </c>
      <c r="E62" s="217">
        <f>+GCP!F36</f>
        <v>48420209.700000003</v>
      </c>
      <c r="F62" s="216" t="s">
        <v>359</v>
      </c>
      <c r="G62" s="216" t="s">
        <v>347</v>
      </c>
      <c r="H62" s="217">
        <f>+CFG!F41</f>
        <v>48420209.700000003</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2668818.44</v>
      </c>
      <c r="C4" s="431">
        <f>SUM(C5:C11)</f>
        <v>4426709.34</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308110.5</v>
      </c>
      <c r="D9" s="15">
        <v>4150</v>
      </c>
    </row>
    <row r="10" spans="1:4" x14ac:dyDescent="0.2">
      <c r="A10" s="14" t="s">
        <v>109</v>
      </c>
      <c r="B10" s="433">
        <v>0</v>
      </c>
      <c r="C10" s="433">
        <v>0</v>
      </c>
      <c r="D10" s="15">
        <v>4160</v>
      </c>
    </row>
    <row r="11" spans="1:4" ht="11.25" customHeight="1" x14ac:dyDescent="0.2">
      <c r="A11" s="14" t="s">
        <v>110</v>
      </c>
      <c r="B11" s="433">
        <v>2668818.44</v>
      </c>
      <c r="C11" s="433">
        <v>4118598.84</v>
      </c>
      <c r="D11" s="15">
        <v>4170</v>
      </c>
    </row>
    <row r="12" spans="1:4" ht="11.25" customHeight="1" x14ac:dyDescent="0.25">
      <c r="A12" s="14"/>
      <c r="B12" s="434"/>
      <c r="C12" s="434"/>
      <c r="D12" s="12"/>
    </row>
    <row r="13" spans="1:4" ht="33.75" x14ac:dyDescent="0.25">
      <c r="A13" s="13" t="s">
        <v>111</v>
      </c>
      <c r="B13" s="431">
        <f>SUM(B14:B15)</f>
        <v>56445295.740000002</v>
      </c>
      <c r="C13" s="431">
        <f>SUM(C14:C15)</f>
        <v>63960988</v>
      </c>
      <c r="D13" s="12"/>
    </row>
    <row r="14" spans="1:4" ht="22.5" x14ac:dyDescent="0.2">
      <c r="A14" s="14" t="s">
        <v>112</v>
      </c>
      <c r="B14" s="433">
        <v>0</v>
      </c>
      <c r="C14" s="433">
        <v>0</v>
      </c>
      <c r="D14" s="15">
        <v>4210</v>
      </c>
    </row>
    <row r="15" spans="1:4" ht="11.25" customHeight="1" x14ac:dyDescent="0.2">
      <c r="A15" s="14" t="s">
        <v>113</v>
      </c>
      <c r="B15" s="433">
        <v>56445295.740000002</v>
      </c>
      <c r="C15" s="433">
        <v>63960988</v>
      </c>
      <c r="D15" s="15">
        <v>4220</v>
      </c>
    </row>
    <row r="16" spans="1:4" ht="11.25" customHeight="1" x14ac:dyDescent="0.25">
      <c r="A16" s="14"/>
      <c r="B16" s="434"/>
      <c r="C16" s="434"/>
      <c r="D16" s="12"/>
    </row>
    <row r="17" spans="1:5" ht="11.25" customHeight="1" x14ac:dyDescent="0.25">
      <c r="A17" s="13" t="s">
        <v>114</v>
      </c>
      <c r="B17" s="431">
        <f>SUM(B18:B22)</f>
        <v>713031.04</v>
      </c>
      <c r="C17" s="431">
        <f>SUM(C18:C22)</f>
        <v>3709811.81</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713031.04</v>
      </c>
      <c r="C22" s="433">
        <v>3709811.81</v>
      </c>
      <c r="D22" s="15">
        <v>4390</v>
      </c>
    </row>
    <row r="23" spans="1:5" ht="11.25" customHeight="1" x14ac:dyDescent="0.25">
      <c r="A23" s="16"/>
      <c r="B23" s="434"/>
      <c r="C23" s="434"/>
      <c r="D23" s="12"/>
    </row>
    <row r="24" spans="1:5" ht="11.25" customHeight="1" x14ac:dyDescent="0.25">
      <c r="A24" s="10" t="s">
        <v>120</v>
      </c>
      <c r="B24" s="431">
        <f>SUM(B4+B13+B17)</f>
        <v>59827145.219999999</v>
      </c>
      <c r="C24" s="432">
        <f>SUM(C4+C13+C17)</f>
        <v>72097509.150000006</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43567454.140000001</v>
      </c>
      <c r="C27" s="431">
        <f>SUM(C28:C30)</f>
        <v>59081753.740000002</v>
      </c>
      <c r="D27" s="12"/>
    </row>
    <row r="28" spans="1:5" ht="11.25" customHeight="1" x14ac:dyDescent="0.2">
      <c r="A28" s="14" t="s">
        <v>123</v>
      </c>
      <c r="B28" s="433">
        <v>36042617.369999997</v>
      </c>
      <c r="C28" s="433">
        <v>50018075.439999998</v>
      </c>
      <c r="D28" s="15">
        <v>5110</v>
      </c>
    </row>
    <row r="29" spans="1:5" ht="11.25" customHeight="1" x14ac:dyDescent="0.2">
      <c r="A29" s="14" t="s">
        <v>124</v>
      </c>
      <c r="B29" s="433">
        <v>3822733.36</v>
      </c>
      <c r="C29" s="433">
        <v>4601052.17</v>
      </c>
      <c r="D29" s="15">
        <v>5120</v>
      </c>
    </row>
    <row r="30" spans="1:5" ht="11.25" customHeight="1" x14ac:dyDescent="0.2">
      <c r="A30" s="14" t="s">
        <v>125</v>
      </c>
      <c r="B30" s="433">
        <v>3702103.41</v>
      </c>
      <c r="C30" s="433">
        <v>4462626.13</v>
      </c>
      <c r="D30" s="15">
        <v>5130</v>
      </c>
    </row>
    <row r="31" spans="1:5" ht="11.25" customHeight="1" x14ac:dyDescent="0.25">
      <c r="A31" s="14"/>
      <c r="B31" s="434"/>
      <c r="C31" s="434"/>
      <c r="D31" s="12"/>
    </row>
    <row r="32" spans="1:5" ht="11.25" customHeight="1" x14ac:dyDescent="0.25">
      <c r="A32" s="13" t="s">
        <v>126</v>
      </c>
      <c r="B32" s="431">
        <f>SUM(B33:B41)</f>
        <v>3532497.43</v>
      </c>
      <c r="C32" s="431">
        <f>SUM(C33:C41)</f>
        <v>4778965.9400000004</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3532497.43</v>
      </c>
      <c r="C36" s="433">
        <v>4778965.9400000004</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1352189.05</v>
      </c>
      <c r="D55" s="12"/>
    </row>
    <row r="56" spans="1:5" ht="11.25" customHeight="1" x14ac:dyDescent="0.2">
      <c r="A56" s="14" t="s">
        <v>147</v>
      </c>
      <c r="B56" s="433">
        <v>0</v>
      </c>
      <c r="C56" s="433">
        <v>1352189.05</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3622833.43</v>
      </c>
      <c r="D61" s="12"/>
    </row>
    <row r="62" spans="1:5" ht="11.25" customHeight="1" x14ac:dyDescent="0.2">
      <c r="A62" s="14" t="s">
        <v>152</v>
      </c>
      <c r="B62" s="433">
        <v>0</v>
      </c>
      <c r="C62" s="433">
        <v>3622833.43</v>
      </c>
      <c r="D62" s="15">
        <v>5610</v>
      </c>
    </row>
    <row r="63" spans="1:5" ht="11.25" customHeight="1" x14ac:dyDescent="0.25">
      <c r="A63" s="16"/>
      <c r="B63" s="434"/>
      <c r="C63" s="434"/>
      <c r="D63" s="12"/>
    </row>
    <row r="64" spans="1:5" ht="11.25" customHeight="1" x14ac:dyDescent="0.25">
      <c r="A64" s="10" t="s">
        <v>153</v>
      </c>
      <c r="B64" s="431">
        <f>B61+B55+B48+B43+B32+B27</f>
        <v>47099951.57</v>
      </c>
      <c r="C64" s="432">
        <f>C61+C55+C48+C43+C32+C27</f>
        <v>68835742.159999996</v>
      </c>
      <c r="D64" s="12"/>
      <c r="E64" s="12"/>
    </row>
    <row r="65" spans="1:8" ht="11.25" customHeight="1" x14ac:dyDescent="0.25">
      <c r="A65" s="17"/>
      <c r="B65" s="434"/>
      <c r="C65" s="434"/>
      <c r="D65" s="12"/>
      <c r="E65" s="12"/>
    </row>
    <row r="66" spans="1:8" s="12" customFormat="1" x14ac:dyDescent="0.25">
      <c r="A66" s="10" t="s">
        <v>154</v>
      </c>
      <c r="B66" s="431">
        <f>B24-B64</f>
        <v>12727193.649999999</v>
      </c>
      <c r="C66" s="431">
        <f>C24-C64</f>
        <v>3261766.9900000095</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18082327.370000001</v>
      </c>
      <c r="C5" s="425">
        <v>8936260.6600000001</v>
      </c>
      <c r="D5" s="14" t="s">
        <v>161</v>
      </c>
      <c r="E5" s="425">
        <v>478877.99</v>
      </c>
      <c r="F5" s="428">
        <v>2683782.1800000002</v>
      </c>
    </row>
    <row r="6" spans="1:6" x14ac:dyDescent="0.25">
      <c r="A6" s="14" t="s">
        <v>162</v>
      </c>
      <c r="B6" s="425">
        <v>550050.11</v>
      </c>
      <c r="C6" s="425">
        <v>540455.49</v>
      </c>
      <c r="D6" s="14" t="s">
        <v>163</v>
      </c>
      <c r="E6" s="425">
        <v>0</v>
      </c>
      <c r="F6" s="428">
        <v>0</v>
      </c>
    </row>
    <row r="7" spans="1:6" x14ac:dyDescent="0.25">
      <c r="A7" s="14" t="s">
        <v>164</v>
      </c>
      <c r="B7" s="425">
        <v>20880</v>
      </c>
      <c r="C7" s="425">
        <v>20880</v>
      </c>
      <c r="D7" s="14" t="s">
        <v>165</v>
      </c>
      <c r="E7" s="425">
        <v>0</v>
      </c>
      <c r="F7" s="428">
        <v>0</v>
      </c>
    </row>
    <row r="8" spans="1:6" x14ac:dyDescent="0.25">
      <c r="A8" s="14" t="s">
        <v>166</v>
      </c>
      <c r="B8" s="425">
        <v>0</v>
      </c>
      <c r="C8" s="425">
        <v>0</v>
      </c>
      <c r="D8" s="14" t="s">
        <v>167</v>
      </c>
      <c r="E8" s="425">
        <v>0</v>
      </c>
      <c r="F8" s="428">
        <v>0</v>
      </c>
    </row>
    <row r="9" spans="1:6" x14ac:dyDescent="0.25">
      <c r="A9" s="14" t="s">
        <v>168</v>
      </c>
      <c r="B9" s="425">
        <v>7321.32</v>
      </c>
      <c r="C9" s="425">
        <v>7321.32</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18660578.800000001</v>
      </c>
      <c r="C13" s="427">
        <f>SUM(C5:C11)</f>
        <v>9504917.4700000007</v>
      </c>
      <c r="D13" s="16"/>
      <c r="E13" s="429"/>
      <c r="F13" s="430"/>
    </row>
    <row r="14" spans="1:6" x14ac:dyDescent="0.25">
      <c r="A14" s="17"/>
      <c r="B14" s="426"/>
      <c r="C14" s="426"/>
      <c r="D14" s="13" t="s">
        <v>176</v>
      </c>
      <c r="E14" s="431">
        <f>SUM(E5:E12)</f>
        <v>478877.99</v>
      </c>
      <c r="F14" s="432">
        <f>SUM(F5:F12)</f>
        <v>2683782.1800000002</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178119.1</v>
      </c>
      <c r="C18" s="425">
        <v>178119.1</v>
      </c>
      <c r="D18" s="14" t="s">
        <v>183</v>
      </c>
      <c r="E18" s="425">
        <v>0</v>
      </c>
      <c r="F18" s="428">
        <v>0</v>
      </c>
    </row>
    <row r="19" spans="1:6" x14ac:dyDescent="0.25">
      <c r="A19" s="14" t="s">
        <v>184</v>
      </c>
      <c r="B19" s="425">
        <v>15170632.460000001</v>
      </c>
      <c r="C19" s="425">
        <v>13850374.33</v>
      </c>
      <c r="D19" s="14" t="s">
        <v>185</v>
      </c>
      <c r="E19" s="425">
        <v>0</v>
      </c>
      <c r="F19" s="428">
        <v>0</v>
      </c>
    </row>
    <row r="20" spans="1:6" x14ac:dyDescent="0.25">
      <c r="A20" s="14" t="s">
        <v>186</v>
      </c>
      <c r="B20" s="425">
        <v>184989.22</v>
      </c>
      <c r="C20" s="425">
        <v>184989.22</v>
      </c>
      <c r="D20" s="14" t="s">
        <v>187</v>
      </c>
      <c r="E20" s="425">
        <v>0</v>
      </c>
      <c r="F20" s="428">
        <v>0</v>
      </c>
    </row>
    <row r="21" spans="1:6" ht="22.5" x14ac:dyDescent="0.25">
      <c r="A21" s="14" t="s">
        <v>188</v>
      </c>
      <c r="B21" s="425">
        <v>-8188170.4000000004</v>
      </c>
      <c r="C21" s="425">
        <v>-8188170.4000000004</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7345570.3800000008</v>
      </c>
      <c r="C26" s="427">
        <f>SUM(C16:C24)</f>
        <v>6025312.25</v>
      </c>
      <c r="D26" s="24" t="s">
        <v>196</v>
      </c>
      <c r="E26" s="427">
        <f>SUM(E24+E14)</f>
        <v>478877.99</v>
      </c>
      <c r="F26" s="432">
        <f>SUM(F14+F24)</f>
        <v>2683782.1800000002</v>
      </c>
    </row>
    <row r="27" spans="1:6" x14ac:dyDescent="0.25">
      <c r="A27" s="17"/>
      <c r="B27" s="426"/>
      <c r="C27" s="426"/>
      <c r="D27" s="17"/>
      <c r="E27" s="426"/>
      <c r="F27" s="430"/>
    </row>
    <row r="28" spans="1:6" x14ac:dyDescent="0.25">
      <c r="A28" s="13" t="s">
        <v>197</v>
      </c>
      <c r="B28" s="427">
        <f>B13+B26</f>
        <v>26006149.18</v>
      </c>
      <c r="C28" s="427">
        <f>C13+C26</f>
        <v>15530229.720000001</v>
      </c>
      <c r="D28" s="10" t="s">
        <v>198</v>
      </c>
      <c r="E28" s="426"/>
      <c r="F28" s="426"/>
    </row>
    <row r="29" spans="1:6" x14ac:dyDescent="0.25">
      <c r="A29" s="25"/>
      <c r="B29" s="26"/>
      <c r="C29" s="23"/>
      <c r="D29" s="17"/>
      <c r="E29" s="426"/>
      <c r="F29" s="426"/>
    </row>
    <row r="30" spans="1:6" x14ac:dyDescent="0.25">
      <c r="A30" s="25"/>
      <c r="B30" s="26"/>
      <c r="C30" s="23"/>
      <c r="D30" s="13" t="s">
        <v>199</v>
      </c>
      <c r="E30" s="427">
        <f>SUM(E31:E33)</f>
        <v>600</v>
      </c>
      <c r="F30" s="432">
        <f>SUM(F31:F33)</f>
        <v>600</v>
      </c>
    </row>
    <row r="31" spans="1:6" x14ac:dyDescent="0.25">
      <c r="A31" s="25"/>
      <c r="B31" s="26"/>
      <c r="C31" s="23"/>
      <c r="D31" s="14" t="s">
        <v>138</v>
      </c>
      <c r="E31" s="425">
        <v>0</v>
      </c>
      <c r="F31" s="428">
        <v>0</v>
      </c>
    </row>
    <row r="32" spans="1:6" x14ac:dyDescent="0.25">
      <c r="A32" s="25"/>
      <c r="B32" s="26"/>
      <c r="C32" s="23"/>
      <c r="D32" s="14" t="s">
        <v>200</v>
      </c>
      <c r="E32" s="425">
        <v>600</v>
      </c>
      <c r="F32" s="428">
        <v>600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25526671.189999998</v>
      </c>
      <c r="F35" s="432">
        <f>SUM(F36:F40)</f>
        <v>12845847.540000001</v>
      </c>
    </row>
    <row r="36" spans="1:6" x14ac:dyDescent="0.25">
      <c r="A36" s="25"/>
      <c r="B36" s="26"/>
      <c r="C36" s="23"/>
      <c r="D36" s="14" t="s">
        <v>203</v>
      </c>
      <c r="E36" s="425">
        <v>12727193.65</v>
      </c>
      <c r="F36" s="428">
        <v>3261766.99</v>
      </c>
    </row>
    <row r="37" spans="1:6" x14ac:dyDescent="0.25">
      <c r="A37" s="25"/>
      <c r="B37" s="26"/>
      <c r="C37" s="23"/>
      <c r="D37" s="14" t="s">
        <v>204</v>
      </c>
      <c r="E37" s="425">
        <v>12799477.539999999</v>
      </c>
      <c r="F37" s="428">
        <v>9584080.5500000007</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25527271.189999998</v>
      </c>
      <c r="F46" s="432">
        <f>SUM(F42+F35+F30)</f>
        <v>12846447.540000001</v>
      </c>
    </row>
    <row r="47" spans="1:6" x14ac:dyDescent="0.25">
      <c r="A47" s="25"/>
      <c r="B47" s="26"/>
      <c r="C47" s="23"/>
      <c r="D47" s="17"/>
      <c r="E47" s="426"/>
      <c r="F47" s="430"/>
    </row>
    <row r="48" spans="1:6" x14ac:dyDescent="0.25">
      <c r="A48" s="25"/>
      <c r="B48" s="26"/>
      <c r="C48" s="23"/>
      <c r="D48" s="13" t="s">
        <v>212</v>
      </c>
      <c r="E48" s="427">
        <f>E46+E26</f>
        <v>26006149.179999996</v>
      </c>
      <c r="F48" s="427">
        <f>F46+F26</f>
        <v>15530229.720000001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20">
        <f>SUM(B5:B7)</f>
        <v>600</v>
      </c>
      <c r="C4" s="421"/>
      <c r="D4" s="421"/>
      <c r="E4" s="421"/>
      <c r="F4" s="420">
        <f>SUM(B4:E4)</f>
        <v>600</v>
      </c>
    </row>
    <row r="5" spans="1:6" ht="11.25" customHeight="1" x14ac:dyDescent="0.2">
      <c r="A5" s="35" t="s">
        <v>138</v>
      </c>
      <c r="B5" s="422">
        <v>0</v>
      </c>
      <c r="C5" s="421"/>
      <c r="D5" s="421"/>
      <c r="E5" s="421"/>
      <c r="F5" s="420">
        <f>SUM(B5:E5)</f>
        <v>0</v>
      </c>
    </row>
    <row r="6" spans="1:6" ht="11.25" customHeight="1" x14ac:dyDescent="0.2">
      <c r="A6" s="35" t="s">
        <v>200</v>
      </c>
      <c r="B6" s="422">
        <v>600</v>
      </c>
      <c r="C6" s="421"/>
      <c r="D6" s="421"/>
      <c r="E6" s="421"/>
      <c r="F6" s="420">
        <f>SUM(B6:E6)</f>
        <v>600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664</v>
      </c>
      <c r="B9" s="421"/>
      <c r="C9" s="420">
        <f>SUM(C10:C14)</f>
        <v>9584080.5500000007</v>
      </c>
      <c r="D9" s="420">
        <f>D10</f>
        <v>3261766.99</v>
      </c>
      <c r="E9" s="421"/>
      <c r="F9" s="420">
        <f t="shared" ref="F9:F14" si="0">SUM(B9:E9)</f>
        <v>12845847.540000001</v>
      </c>
    </row>
    <row r="10" spans="1:6" ht="11.25" customHeight="1" x14ac:dyDescent="0.2">
      <c r="A10" s="35" t="s">
        <v>154</v>
      </c>
      <c r="B10" s="421"/>
      <c r="C10" s="421"/>
      <c r="D10" s="422">
        <v>3261766.99</v>
      </c>
      <c r="E10" s="421"/>
      <c r="F10" s="420">
        <f t="shared" si="0"/>
        <v>3261766.99</v>
      </c>
    </row>
    <row r="11" spans="1:6" ht="11.25" customHeight="1" x14ac:dyDescent="0.2">
      <c r="A11" s="35" t="s">
        <v>204</v>
      </c>
      <c r="B11" s="421"/>
      <c r="C11" s="422">
        <v>9584080.5500000007</v>
      </c>
      <c r="D11" s="421"/>
      <c r="E11" s="421"/>
      <c r="F11" s="420">
        <f t="shared" si="0"/>
        <v>9584080.5500000007</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600</v>
      </c>
      <c r="C20" s="420">
        <f>C9</f>
        <v>9584080.5500000007</v>
      </c>
      <c r="D20" s="420">
        <f>D9</f>
        <v>3261766.99</v>
      </c>
      <c r="E20" s="420">
        <f>E16</f>
        <v>0</v>
      </c>
      <c r="F20" s="420">
        <f>SUM(B20:E20)</f>
        <v>12846447.540000001</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3215396.99</v>
      </c>
      <c r="D27" s="420">
        <f>SUM(D28:D32)</f>
        <v>9465426.6600000001</v>
      </c>
      <c r="E27" s="421"/>
      <c r="F27" s="420">
        <f t="shared" ref="F27:F32" si="1">SUM(B27:E27)</f>
        <v>12680823.65</v>
      </c>
    </row>
    <row r="28" spans="1:6" ht="11.25" customHeight="1" x14ac:dyDescent="0.2">
      <c r="A28" s="35" t="s">
        <v>154</v>
      </c>
      <c r="B28" s="421"/>
      <c r="C28" s="421"/>
      <c r="D28" s="422">
        <v>12727193.65</v>
      </c>
      <c r="E28" s="421"/>
      <c r="F28" s="420">
        <f t="shared" si="1"/>
        <v>12727193.65</v>
      </c>
    </row>
    <row r="29" spans="1:6" ht="11.25" customHeight="1" x14ac:dyDescent="0.2">
      <c r="A29" s="35" t="s">
        <v>204</v>
      </c>
      <c r="B29" s="421"/>
      <c r="C29" s="422">
        <v>3215396.99</v>
      </c>
      <c r="D29" s="422">
        <v>-3261766.99</v>
      </c>
      <c r="E29" s="421"/>
      <c r="F29" s="420">
        <f t="shared" si="1"/>
        <v>-46370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600</v>
      </c>
      <c r="C38" s="424">
        <f>+C20+C27</f>
        <v>12799477.540000001</v>
      </c>
      <c r="D38" s="424">
        <f>D20+D27</f>
        <v>12727193.65</v>
      </c>
      <c r="E38" s="424">
        <f>+E20+E34</f>
        <v>0</v>
      </c>
      <c r="F38" s="424">
        <f>SUM(B38:E38)</f>
        <v>25527271.190000001</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10475919.460000001</v>
      </c>
    </row>
    <row r="4" spans="1:3" ht="11.25" customHeight="1" x14ac:dyDescent="0.25">
      <c r="A4" s="43" t="s">
        <v>158</v>
      </c>
      <c r="B4" s="418">
        <f>SUM(B5:B11)</f>
        <v>0</v>
      </c>
      <c r="C4" s="418">
        <f>SUM(C5:C11)</f>
        <v>9155661.3300000001</v>
      </c>
    </row>
    <row r="5" spans="1:3" ht="11.25" customHeight="1" x14ac:dyDescent="0.25">
      <c r="A5" s="44" t="s">
        <v>160</v>
      </c>
      <c r="B5" s="419">
        <v>0</v>
      </c>
      <c r="C5" s="419">
        <v>9146066.7100000009</v>
      </c>
    </row>
    <row r="6" spans="1:3" ht="11.25" customHeight="1" x14ac:dyDescent="0.25">
      <c r="A6" s="44" t="s">
        <v>162</v>
      </c>
      <c r="B6" s="419">
        <v>0</v>
      </c>
      <c r="C6" s="419">
        <v>9594.6200000000008</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1320258.1299999999</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1320258.1299999999</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2204904.19</v>
      </c>
    </row>
    <row r="25" spans="1:3" ht="11.25" customHeight="1" x14ac:dyDescent="0.25">
      <c r="A25" s="43" t="s">
        <v>159</v>
      </c>
      <c r="B25" s="418">
        <f>SUM(B26:B33)</f>
        <v>0</v>
      </c>
      <c r="C25" s="418">
        <f>SUM(C26:C33)</f>
        <v>2204904.19</v>
      </c>
    </row>
    <row r="26" spans="1:3" ht="11.25" customHeight="1" x14ac:dyDescent="0.25">
      <c r="A26" s="44" t="s">
        <v>161</v>
      </c>
      <c r="B26" s="419">
        <v>0</v>
      </c>
      <c r="C26" s="419">
        <v>2204904.19</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12680823.65</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12680823.65</v>
      </c>
      <c r="C50" s="418">
        <f>SUM(C51:C55)</f>
        <v>0</v>
      </c>
    </row>
    <row r="51" spans="1:3" ht="11.25" customHeight="1" x14ac:dyDescent="0.25">
      <c r="A51" s="44" t="s">
        <v>203</v>
      </c>
      <c r="B51" s="419">
        <v>9465426.6600000001</v>
      </c>
      <c r="C51" s="419">
        <v>0</v>
      </c>
    </row>
    <row r="52" spans="1:3" ht="11.25" customHeight="1" x14ac:dyDescent="0.25">
      <c r="A52" s="44" t="s">
        <v>204</v>
      </c>
      <c r="B52" s="419">
        <v>3215396.99</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59827145.219999999</v>
      </c>
      <c r="C4" s="412">
        <f>SUM(C5:C14)</f>
        <v>71996822.150000006</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308110.5</v>
      </c>
      <c r="D9" s="50">
        <v>500000</v>
      </c>
    </row>
    <row r="10" spans="1:22" ht="11.25" customHeight="1" x14ac:dyDescent="0.2">
      <c r="A10" s="44" t="s">
        <v>109</v>
      </c>
      <c r="B10" s="413">
        <v>0</v>
      </c>
      <c r="C10" s="413">
        <v>0</v>
      </c>
      <c r="D10" s="50">
        <v>600000</v>
      </c>
    </row>
    <row r="11" spans="1:22" ht="11.25" customHeight="1" x14ac:dyDescent="0.2">
      <c r="A11" s="44" t="s">
        <v>110</v>
      </c>
      <c r="B11" s="413">
        <v>3381849.48</v>
      </c>
      <c r="C11" s="413">
        <v>7727723.6500000004</v>
      </c>
      <c r="D11" s="50">
        <v>700000</v>
      </c>
    </row>
    <row r="12" spans="1:22" ht="22.5" x14ac:dyDescent="0.2">
      <c r="A12" s="44" t="s">
        <v>112</v>
      </c>
      <c r="B12" s="413">
        <v>0</v>
      </c>
      <c r="C12" s="413">
        <v>0</v>
      </c>
      <c r="D12" s="50">
        <v>800000</v>
      </c>
    </row>
    <row r="13" spans="1:22" ht="11.25" customHeight="1" x14ac:dyDescent="0.2">
      <c r="A13" s="44" t="s">
        <v>113</v>
      </c>
      <c r="B13" s="413">
        <v>56445295.740000002</v>
      </c>
      <c r="C13" s="413">
        <v>63960988</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47099951.57</v>
      </c>
      <c r="C16" s="412">
        <f>SUM(C17:C32)</f>
        <v>63464499.939999998</v>
      </c>
      <c r="D16" s="49" t="s">
        <v>221</v>
      </c>
    </row>
    <row r="17" spans="1:4" ht="11.25" customHeight="1" x14ac:dyDescent="0.2">
      <c r="A17" s="44" t="s">
        <v>123</v>
      </c>
      <c r="B17" s="413">
        <v>36042617.369999997</v>
      </c>
      <c r="C17" s="413">
        <v>50005521.189999998</v>
      </c>
      <c r="D17" s="50">
        <v>1000</v>
      </c>
    </row>
    <row r="18" spans="1:4" ht="11.25" customHeight="1" x14ac:dyDescent="0.2">
      <c r="A18" s="44" t="s">
        <v>124</v>
      </c>
      <c r="B18" s="413">
        <v>3822733.36</v>
      </c>
      <c r="C18" s="413">
        <v>4550860.68</v>
      </c>
      <c r="D18" s="50">
        <v>2000</v>
      </c>
    </row>
    <row r="19" spans="1:4" ht="11.25" customHeight="1" x14ac:dyDescent="0.2">
      <c r="A19" s="44" t="s">
        <v>125</v>
      </c>
      <c r="B19" s="413">
        <v>3702103.41</v>
      </c>
      <c r="C19" s="413">
        <v>4247775.13</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3532497.43</v>
      </c>
      <c r="C23" s="413">
        <v>4660342.9400000004</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12727193.649999999</v>
      </c>
      <c r="C33" s="412">
        <f>C4-C16</f>
        <v>8532322.2100000083</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1320258.1299999999</v>
      </c>
      <c r="C41" s="412">
        <f>SUM(C42:C44)</f>
        <v>5583156.4199999999</v>
      </c>
      <c r="D41" s="49" t="s">
        <v>221</v>
      </c>
    </row>
    <row r="42" spans="1:4" ht="11.25" customHeight="1" x14ac:dyDescent="0.2">
      <c r="A42" s="44" t="s">
        <v>182</v>
      </c>
      <c r="B42" s="413">
        <v>0</v>
      </c>
      <c r="C42" s="413">
        <v>3622833.43</v>
      </c>
      <c r="D42" s="49">
        <v>6000</v>
      </c>
    </row>
    <row r="43" spans="1:4" ht="11.25" customHeight="1" x14ac:dyDescent="0.2">
      <c r="A43" s="44" t="s">
        <v>184</v>
      </c>
      <c r="B43" s="413">
        <v>1320258.1299999999</v>
      </c>
      <c r="C43" s="413">
        <v>1960322.99</v>
      </c>
      <c r="D43" s="49">
        <v>5000</v>
      </c>
    </row>
    <row r="44" spans="1:4" ht="11.25" customHeight="1" x14ac:dyDescent="0.2">
      <c r="A44" s="44" t="s">
        <v>229</v>
      </c>
      <c r="B44" s="413">
        <v>0</v>
      </c>
      <c r="C44" s="413">
        <v>0</v>
      </c>
      <c r="D44" s="49">
        <v>7000</v>
      </c>
    </row>
    <row r="45" spans="1:4" ht="11.25" customHeight="1" x14ac:dyDescent="0.2">
      <c r="A45" s="34" t="s">
        <v>230</v>
      </c>
      <c r="B45" s="412">
        <f>B36-B41</f>
        <v>-1320258.1299999999</v>
      </c>
      <c r="C45" s="412">
        <f>C36-C41</f>
        <v>-5583156.4199999999</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2260868.81</v>
      </c>
      <c r="C54" s="412">
        <f>SUM(C55+C58)</f>
        <v>5098763.45</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2260868.81</v>
      </c>
      <c r="C58" s="413">
        <v>5098763.45</v>
      </c>
      <c r="D58" s="49" t="s">
        <v>221</v>
      </c>
    </row>
    <row r="59" spans="1:4" ht="11.25" customHeight="1" x14ac:dyDescent="0.2">
      <c r="A59" s="34" t="s">
        <v>242</v>
      </c>
      <c r="B59" s="412">
        <f>B48-B54</f>
        <v>-2260868.81</v>
      </c>
      <c r="C59" s="412">
        <f>C48-C54</f>
        <v>-5098763.45</v>
      </c>
      <c r="D59" s="49" t="s">
        <v>221</v>
      </c>
    </row>
    <row r="60" spans="1:4" ht="11.25" customHeight="1" x14ac:dyDescent="0.2">
      <c r="A60" s="37"/>
      <c r="B60" s="414"/>
      <c r="C60" s="414"/>
      <c r="D60" s="49" t="s">
        <v>221</v>
      </c>
    </row>
    <row r="61" spans="1:4" ht="11.25" customHeight="1" x14ac:dyDescent="0.2">
      <c r="A61" s="34" t="s">
        <v>243</v>
      </c>
      <c r="B61" s="412">
        <f>B59+B45+B33</f>
        <v>9146066.709999999</v>
      </c>
      <c r="C61" s="412">
        <f>C59+C45+C33</f>
        <v>-2149597.6599999927</v>
      </c>
      <c r="D61" s="49" t="s">
        <v>221</v>
      </c>
    </row>
    <row r="62" spans="1:4" ht="11.25" customHeight="1" x14ac:dyDescent="0.2">
      <c r="A62" s="37"/>
      <c r="B62" s="414"/>
      <c r="C62" s="414"/>
      <c r="D62" s="49" t="s">
        <v>221</v>
      </c>
    </row>
    <row r="63" spans="1:4" ht="11.25" customHeight="1" x14ac:dyDescent="0.2">
      <c r="A63" s="34" t="s">
        <v>244</v>
      </c>
      <c r="B63" s="412">
        <v>8936260.6600000001</v>
      </c>
      <c r="C63" s="412">
        <v>11085858.32</v>
      </c>
      <c r="D63" s="49" t="s">
        <v>221</v>
      </c>
    </row>
    <row r="64" spans="1:4" ht="11.25" customHeight="1" x14ac:dyDescent="0.2">
      <c r="A64" s="37"/>
      <c r="B64" s="414"/>
      <c r="C64" s="414"/>
      <c r="D64" s="49" t="s">
        <v>221</v>
      </c>
    </row>
    <row r="65" spans="1:4" ht="11.25" customHeight="1" x14ac:dyDescent="0.2">
      <c r="A65" s="34" t="s">
        <v>245</v>
      </c>
      <c r="B65" s="412">
        <v>18082327.370000001</v>
      </c>
      <c r="C65" s="412">
        <v>8936260.6600000001</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15530229.720000001</v>
      </c>
      <c r="C3" s="412">
        <f t="shared" ref="C3:F3" si="0">C4+C12</f>
        <v>151697841.77999997</v>
      </c>
      <c r="D3" s="412">
        <f t="shared" si="0"/>
        <v>141221922.31999999</v>
      </c>
      <c r="E3" s="412">
        <f t="shared" si="0"/>
        <v>26006149.179999992</v>
      </c>
      <c r="F3" s="412">
        <f t="shared" si="0"/>
        <v>10475919.45999999</v>
      </c>
    </row>
    <row r="4" spans="1:6" x14ac:dyDescent="0.2">
      <c r="A4" s="56" t="s">
        <v>158</v>
      </c>
      <c r="B4" s="412">
        <f>SUM(B5:B11)</f>
        <v>9504917.4700000007</v>
      </c>
      <c r="C4" s="412">
        <f>SUM(C5:C11)</f>
        <v>148878192.51999998</v>
      </c>
      <c r="D4" s="412">
        <f>SUM(D5:D11)</f>
        <v>139722531.19</v>
      </c>
      <c r="E4" s="412">
        <f>SUM(E5:E11)</f>
        <v>18660578.79999999</v>
      </c>
      <c r="F4" s="412">
        <f>SUM(F5:F11)</f>
        <v>9155661.3299999889</v>
      </c>
    </row>
    <row r="5" spans="1:6" x14ac:dyDescent="0.2">
      <c r="A5" s="57" t="s">
        <v>160</v>
      </c>
      <c r="B5" s="413">
        <v>8936260.6600000001</v>
      </c>
      <c r="C5" s="413">
        <v>87468100.219999999</v>
      </c>
      <c r="D5" s="413">
        <v>78322033.510000005</v>
      </c>
      <c r="E5" s="413">
        <f>B5+C5-D5</f>
        <v>18082327.36999999</v>
      </c>
      <c r="F5" s="413">
        <f t="shared" ref="F5:F11" si="1">E5-B5</f>
        <v>9146066.7099999897</v>
      </c>
    </row>
    <row r="6" spans="1:6" x14ac:dyDescent="0.2">
      <c r="A6" s="57" t="s">
        <v>162</v>
      </c>
      <c r="B6" s="413">
        <v>540455.49</v>
      </c>
      <c r="C6" s="413">
        <v>61410092.299999997</v>
      </c>
      <c r="D6" s="413">
        <v>61400497.68</v>
      </c>
      <c r="E6" s="413">
        <f t="shared" ref="E6:E11" si="2">B6+C6-D6</f>
        <v>550050.1099999994</v>
      </c>
      <c r="F6" s="413">
        <f t="shared" si="1"/>
        <v>9594.6199999994133</v>
      </c>
    </row>
    <row r="7" spans="1:6" x14ac:dyDescent="0.2">
      <c r="A7" s="57" t="s">
        <v>164</v>
      </c>
      <c r="B7" s="413">
        <v>20880</v>
      </c>
      <c r="C7" s="413">
        <v>0</v>
      </c>
      <c r="D7" s="413">
        <v>0</v>
      </c>
      <c r="E7" s="413">
        <f t="shared" si="2"/>
        <v>20880</v>
      </c>
      <c r="F7" s="413">
        <f t="shared" si="1"/>
        <v>0</v>
      </c>
    </row>
    <row r="8" spans="1:6" x14ac:dyDescent="0.2">
      <c r="A8" s="57" t="s">
        <v>166</v>
      </c>
      <c r="B8" s="413">
        <v>0</v>
      </c>
      <c r="C8" s="413">
        <v>0</v>
      </c>
      <c r="D8" s="413">
        <v>0</v>
      </c>
      <c r="E8" s="413">
        <f t="shared" si="2"/>
        <v>0</v>
      </c>
      <c r="F8" s="413">
        <f t="shared" si="1"/>
        <v>0</v>
      </c>
    </row>
    <row r="9" spans="1:6" x14ac:dyDescent="0.2">
      <c r="A9" s="57" t="s">
        <v>168</v>
      </c>
      <c r="B9" s="413">
        <v>7321.32</v>
      </c>
      <c r="C9" s="413">
        <v>0</v>
      </c>
      <c r="D9" s="413">
        <v>0</v>
      </c>
      <c r="E9" s="413">
        <f t="shared" si="2"/>
        <v>7321.32</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6025312.25</v>
      </c>
      <c r="C12" s="412">
        <f>SUM(C13:C21)</f>
        <v>2819649.26</v>
      </c>
      <c r="D12" s="412">
        <f>SUM(D13:D21)</f>
        <v>1499391.13</v>
      </c>
      <c r="E12" s="412">
        <f>SUM(E13:E21)</f>
        <v>7345570.3800000008</v>
      </c>
      <c r="F12" s="412">
        <f>SUM(F13:F21)</f>
        <v>1320258.1300000008</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178119.1</v>
      </c>
      <c r="C15" s="415">
        <v>0</v>
      </c>
      <c r="D15" s="415">
        <v>0</v>
      </c>
      <c r="E15" s="415">
        <f t="shared" si="4"/>
        <v>178119.1</v>
      </c>
      <c r="F15" s="415">
        <f t="shared" si="3"/>
        <v>0</v>
      </c>
    </row>
    <row r="16" spans="1:6" x14ac:dyDescent="0.2">
      <c r="A16" s="57" t="s">
        <v>184</v>
      </c>
      <c r="B16" s="413">
        <v>13850374.33</v>
      </c>
      <c r="C16" s="413">
        <v>2819649.26</v>
      </c>
      <c r="D16" s="413">
        <v>1499391.13</v>
      </c>
      <c r="E16" s="413">
        <f t="shared" si="4"/>
        <v>15170632.460000001</v>
      </c>
      <c r="F16" s="413">
        <f t="shared" si="3"/>
        <v>1320258.1300000008</v>
      </c>
    </row>
    <row r="17" spans="1:6" x14ac:dyDescent="0.2">
      <c r="A17" s="57" t="s">
        <v>186</v>
      </c>
      <c r="B17" s="413">
        <v>184989.22</v>
      </c>
      <c r="C17" s="413">
        <v>0</v>
      </c>
      <c r="D17" s="413">
        <v>0</v>
      </c>
      <c r="E17" s="413">
        <f t="shared" si="4"/>
        <v>184989.22</v>
      </c>
      <c r="F17" s="413">
        <f t="shared" si="3"/>
        <v>0</v>
      </c>
    </row>
    <row r="18" spans="1:6" x14ac:dyDescent="0.2">
      <c r="A18" s="57" t="s">
        <v>188</v>
      </c>
      <c r="B18" s="413">
        <v>-8188170.4000000004</v>
      </c>
      <c r="C18" s="413">
        <v>0</v>
      </c>
      <c r="D18" s="413">
        <v>0</v>
      </c>
      <c r="E18" s="413">
        <f t="shared" si="4"/>
        <v>-8188170.4000000004</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paola belman</cp:lastModifiedBy>
  <cp:lastPrinted>2025-10-26T20:24:27Z</cp:lastPrinted>
  <dcterms:created xsi:type="dcterms:W3CDTF">2022-05-30T14:17:15Z</dcterms:created>
  <dcterms:modified xsi:type="dcterms:W3CDTF">2025-10-26T20:24:35Z</dcterms:modified>
</cp:coreProperties>
</file>